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<sst xmlns="http://schemas.openxmlformats.org/spreadsheetml/2006/main" count="668" uniqueCount="349">
  <si>
    <t>hour</t>
  </si>
  <si>
    <t xml:space="preserve">Tire repair is </t>
  </si>
  <si>
    <t xml:space="preserve">of tire depreciation. </t>
  </si>
  <si>
    <t>The tires should give</t>
  </si>
  <si>
    <t>hours of service.</t>
  </si>
  <si>
    <t>hours/year</t>
  </si>
  <si>
    <t xml:space="preserve"> The loader will work</t>
  </si>
  <si>
    <t xml:space="preserve">The life for bucket teeth is </t>
  </si>
  <si>
    <t>What is the operating cost for the loader in this application?</t>
  </si>
  <si>
    <t>The price for a set of teeth is</t>
  </si>
  <si>
    <t>Cost of fuel =</t>
  </si>
  <si>
    <t>per gal  =</t>
  </si>
  <si>
    <t xml:space="preserve">If you make only one payment at the end of the loan period repaying the principal </t>
  </si>
  <si>
    <t xml:space="preserve">and interest what is the total amount that must be paid back? </t>
  </si>
  <si>
    <t>yes</t>
  </si>
  <si>
    <t xml:space="preserve">(c) Is the present single amount of money (P) known? (Yes , No) </t>
  </si>
  <si>
    <t xml:space="preserve">(d) Which time value factor should be used to solve this problem? </t>
  </si>
  <si>
    <t>A =</t>
  </si>
  <si>
    <t>X</t>
  </si>
  <si>
    <t>=</t>
  </si>
  <si>
    <t xml:space="preserve">(f) How much of the total amount repaid represents interest? </t>
  </si>
  <si>
    <r>
      <t>(a) What is the number of time periods (</t>
    </r>
    <r>
      <rPr>
        <i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) you should use in solving this problem? </t>
    </r>
  </si>
  <si>
    <r>
      <t>(b) What rate of interest (</t>
    </r>
    <r>
      <rPr>
        <i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), per period of time, should be use in solving this problem? </t>
    </r>
  </si>
  <si>
    <t xml:space="preserve">(e) What is the total amount that must be paid back? </t>
  </si>
  <si>
    <r>
      <t xml:space="preserve">(d) </t>
    </r>
    <r>
      <rPr>
        <sz val="12"/>
        <rFont val="Times New Roman"/>
        <family val="1"/>
      </rPr>
      <t>Which time value factor should be used to solve this problem?</t>
    </r>
  </si>
  <si>
    <t>no</t>
  </si>
  <si>
    <r>
      <t>(a) What is the number of time periods (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) you should use in solving this problem?</t>
    </r>
  </si>
  <si>
    <t>P =</t>
  </si>
  <si>
    <t>(e) Which time value factor should be used to solve this problem?</t>
  </si>
  <si>
    <t>(d) What is the desired future amount?</t>
  </si>
  <si>
    <r>
      <t xml:space="preserve">(a) </t>
    </r>
    <r>
      <rPr>
        <sz val="12"/>
        <color indexed="8"/>
        <rFont val="Times New Roman"/>
        <family val="1"/>
      </rPr>
      <t>What is the number of time periods (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) you should use in solving this problem? </t>
    </r>
  </si>
  <si>
    <t>years X</t>
  </si>
  <si>
    <t>months/yr.</t>
  </si>
  <si>
    <r>
      <t>(b)</t>
    </r>
    <r>
      <rPr>
        <sz val="12"/>
        <rFont val="Times New Roman"/>
        <family val="1"/>
      </rPr>
      <t xml:space="preserve"> What rate of interest (i), per period of time, should be use in solving this problem?</t>
    </r>
  </si>
  <si>
    <t>months/yr</t>
  </si>
  <si>
    <t xml:space="preserve">To purchase a new truck it is necessary to borrow </t>
  </si>
  <si>
    <t xml:space="preserve">compounded monthly. </t>
  </si>
  <si>
    <t xml:space="preserve">compounded annually. </t>
  </si>
  <si>
    <t xml:space="preserve">What amount must be invested today at an annual interest rate of </t>
  </si>
  <si>
    <t xml:space="preserve">if you want to purchase a </t>
  </si>
  <si>
    <t xml:space="preserve"> machine </t>
  </si>
  <si>
    <t>years in the future?</t>
  </si>
  <si>
    <t xml:space="preserve">The bank offers  an interest rate of </t>
  </si>
  <si>
    <t xml:space="preserve">If you take a </t>
  </si>
  <si>
    <t>year loan and you will be making monthly payments,</t>
  </si>
  <si>
    <t>what is the total amount that must be paid back?</t>
  </si>
  <si>
    <r>
      <t>(c)</t>
    </r>
    <r>
      <rPr>
        <sz val="12"/>
        <color indexed="8"/>
        <rFont val="Times New Roman"/>
        <family val="1"/>
      </rPr>
      <t xml:space="preserve"> Is the present single amount of money (P) known? (Yes , No)</t>
    </r>
  </si>
  <si>
    <t>The present worth compound amount factor</t>
  </si>
  <si>
    <t>The single payment compound amount factor</t>
  </si>
  <si>
    <t>The uniform series capital recovery factor</t>
  </si>
  <si>
    <r>
      <t xml:space="preserve">(e) </t>
    </r>
    <r>
      <rPr>
        <sz val="10"/>
        <rFont val="Arial"/>
        <family val="0"/>
      </rPr>
      <t>What is the amount you must pay each month?</t>
    </r>
  </si>
  <si>
    <r>
      <t>(f)</t>
    </r>
    <r>
      <rPr>
        <sz val="11"/>
        <rFont val="Arial"/>
        <family val="2"/>
      </rPr>
      <t xml:space="preserve"> What is the total amount that will be paid back over the life of the loan?</t>
    </r>
  </si>
  <si>
    <r>
      <t xml:space="preserve">(g) </t>
    </r>
    <r>
      <rPr>
        <sz val="11"/>
        <rFont val="Arial"/>
        <family val="0"/>
      </rPr>
      <t>What is the total amount of interest you will pay?</t>
    </r>
  </si>
  <si>
    <t xml:space="preserve">is borrowed for </t>
  </si>
  <si>
    <t xml:space="preserve">Use an interest rate equal to </t>
  </si>
  <si>
    <t>compounded annually to solve this problem.</t>
  </si>
  <si>
    <t>F =</t>
  </si>
  <si>
    <t xml:space="preserve">yrs. </t>
  </si>
  <si>
    <t>At the end what total amount must be paid back?</t>
  </si>
  <si>
    <t>SPCAF</t>
  </si>
  <si>
    <t>Use the</t>
  </si>
  <si>
    <t>A company’s interest rate for outside capital is</t>
  </si>
  <si>
    <t>compounded annually.  If</t>
  </si>
  <si>
    <t xml:space="preserve">must be borrowed for </t>
  </si>
  <si>
    <t>total interest</t>
  </si>
  <si>
    <t>(f) What is the total amount that must be invested today?</t>
  </si>
  <si>
    <t xml:space="preserve">A track dozer cost </t>
  </si>
  <si>
    <t xml:space="preserve">to purchase. </t>
  </si>
  <si>
    <t xml:space="preserve">per operating hour. </t>
  </si>
  <si>
    <t>FOG and minor maintenance are estimated at</t>
  </si>
  <si>
    <t xml:space="preserve">A major engine repair costing </t>
  </si>
  <si>
    <t>of the original purchase price.</t>
  </si>
  <si>
    <t xml:space="preserve">The machine should last </t>
  </si>
  <si>
    <t>hrs.</t>
  </si>
  <si>
    <t xml:space="preserve">How much should the owner of the machine charge per hour of use, </t>
  </si>
  <si>
    <t xml:space="preserve">if it is expected that the machine will operate </t>
  </si>
  <si>
    <t xml:space="preserve">hours per year? </t>
  </si>
  <si>
    <t>The company’s cost of capital rate is</t>
  </si>
  <si>
    <t>.</t>
  </si>
  <si>
    <t>First solve for n, the life N</t>
  </si>
  <si>
    <t>hours</t>
  </si>
  <si>
    <t>hrs/yr</t>
  </si>
  <si>
    <t>years</t>
  </si>
  <si>
    <t>USCRF =</t>
  </si>
  <si>
    <t>This is a track machine therefore no tire replacement.</t>
  </si>
  <si>
    <t>Major repairs</t>
  </si>
  <si>
    <t>Time of major repair =</t>
  </si>
  <si>
    <t>hr</t>
  </si>
  <si>
    <t>hr/yr</t>
  </si>
  <si>
    <t>th year</t>
  </si>
  <si>
    <t>The annualized cost for major repair four years into the life is</t>
  </si>
  <si>
    <t>PWCAF-4</t>
  </si>
  <si>
    <t>Salvage</t>
  </si>
  <si>
    <t>Salvage =</t>
  </si>
  <si>
    <t>Asalvage =</t>
  </si>
  <si>
    <t>Salvage can also be calculated using the PWCAF with the USCRF</t>
  </si>
  <si>
    <t>The total cost per hour is</t>
  </si>
  <si>
    <t>Atotal per year =</t>
  </si>
  <si>
    <t>Hourly cost</t>
  </si>
  <si>
    <t xml:space="preserve">A set of tires cost </t>
  </si>
  <si>
    <t xml:space="preserve">with an estimated </t>
  </si>
  <si>
    <t>hours of use.</t>
  </si>
  <si>
    <t>USCRF-6 yr =</t>
  </si>
  <si>
    <t>PWCAF-4 yr =</t>
  </si>
  <si>
    <t>PWCAF-6 yr =</t>
  </si>
  <si>
    <t>PWCAF-6 yr</t>
  </si>
  <si>
    <t>Tire replacement.</t>
  </si>
  <si>
    <t>Timing =</t>
  </si>
  <si>
    <t>therefore replace at end of</t>
  </si>
  <si>
    <t>first and second years.</t>
  </si>
  <si>
    <t>PWCAF-1 yr =</t>
  </si>
  <si>
    <t>PWCAF-2 yr =</t>
  </si>
  <si>
    <t>USCRF-3 yr =</t>
  </si>
  <si>
    <t xml:space="preserve">USSFF-6 yr = </t>
  </si>
  <si>
    <t>PWCAF-1</t>
  </si>
  <si>
    <t>PWCAF-2</t>
  </si>
  <si>
    <t>The annualized cost for major repair</t>
  </si>
  <si>
    <t>years into the life is</t>
  </si>
  <si>
    <t>PWCAF-3yr =</t>
  </si>
  <si>
    <t>PWCAF-2yr =</t>
  </si>
  <si>
    <t xml:space="preserve">USSFF-3yr = </t>
  </si>
  <si>
    <t>PWCAF-3yr</t>
  </si>
  <si>
    <t>Atires =</t>
  </si>
  <si>
    <t>Purchase less tires</t>
  </si>
  <si>
    <t>Time</t>
  </si>
  <si>
    <t>year in the future</t>
  </si>
  <si>
    <t>years in the future</t>
  </si>
  <si>
    <t xml:space="preserve">at an interest rate of </t>
  </si>
  <si>
    <t xml:space="preserve">The bank offers a </t>
  </si>
  <si>
    <t xml:space="preserve">year loan </t>
  </si>
  <si>
    <t>-</t>
  </si>
  <si>
    <t>To purchase a new car it is necessary to borrow</t>
  </si>
  <si>
    <t xml:space="preserve">yr loan at </t>
  </si>
  <si>
    <t xml:space="preserve">The car dealer offers a </t>
  </si>
  <si>
    <t>SPCAF =</t>
  </si>
  <si>
    <t xml:space="preserve"> interest rate.</t>
  </si>
  <si>
    <t xml:space="preserve"> and interest for each case, and interested is figure by compounding annually</t>
  </si>
  <si>
    <r>
      <t xml:space="preserve">(a) </t>
    </r>
    <r>
      <rPr>
        <sz val="11"/>
        <rFont val="Arial"/>
        <family val="2"/>
      </rPr>
      <t>If you make only one payment at the end of the loan period repaying the principal</t>
    </r>
  </si>
  <si>
    <r>
      <t xml:space="preserve">(b) </t>
    </r>
    <r>
      <rPr>
        <sz val="11"/>
        <rFont val="Arial"/>
        <family val="2"/>
      </rPr>
      <t xml:space="preserve">If you make monthly payments and interested is figure by compounding </t>
    </r>
  </si>
  <si>
    <t>monthly what is the total amount that you will paid?</t>
  </si>
  <si>
    <t>n =</t>
  </si>
  <si>
    <t>i =</t>
  </si>
  <si>
    <t>Tires</t>
  </si>
  <si>
    <t>Depreciation</t>
  </si>
  <si>
    <t>Repair</t>
  </si>
  <si>
    <t xml:space="preserve"> A tractor with an adjusted basis (from depreciation) of </t>
  </si>
  <si>
    <t>and</t>
  </si>
  <si>
    <t xml:space="preserve">is sold for </t>
  </si>
  <si>
    <t xml:space="preserve">a new tractor purchased with a cash payment of </t>
  </si>
  <si>
    <t>Third party sale and purchase.</t>
  </si>
  <si>
    <t>Basis equals the cash payment:</t>
  </si>
  <si>
    <t xml:space="preserve">is traded for a new tractor that has a fair market value of </t>
  </si>
  <si>
    <t>What is the tax depreciation basis of the new tractor?</t>
  </si>
  <si>
    <t xml:space="preserve">is made to complete the transaction. </t>
  </si>
  <si>
    <t>A cash payment of</t>
  </si>
  <si>
    <t>Cash payment</t>
  </si>
  <si>
    <t>Adjusted basis of the trade-in tractor</t>
  </si>
  <si>
    <t>Basis of the new tractor</t>
  </si>
  <si>
    <t xml:space="preserve">Asphalt Pavers, Inc. purchases a loader to use at its asphalt plant. </t>
  </si>
  <si>
    <t xml:space="preserve">The purchase price delivered is </t>
  </si>
  <si>
    <t>Tires for this machine cost</t>
  </si>
  <si>
    <t>of service for</t>
  </si>
  <si>
    <t xml:space="preserve">years </t>
  </si>
  <si>
    <t>The company believes it can sell the loader after</t>
  </si>
  <si>
    <t xml:space="preserve">What is the depreciation part of this machine’s ownership cost? </t>
  </si>
  <si>
    <t>Use the time value method to calculate depreciation.</t>
  </si>
  <si>
    <t>The company’s cost-of-capital is</t>
  </si>
  <si>
    <t xml:space="preserve">There will be no major overhauls. </t>
  </si>
  <si>
    <t>Depreciation – consumption of the asset:</t>
  </si>
  <si>
    <t>Purchase price</t>
  </si>
  <si>
    <t>less cost of tires</t>
  </si>
  <si>
    <t>Using the USSFF</t>
  </si>
  <si>
    <t>Using the USCRF</t>
  </si>
  <si>
    <t>Purchase</t>
  </si>
  <si>
    <t>Apurchase =</t>
  </si>
  <si>
    <t>Depreciation =</t>
  </si>
  <si>
    <t>+</t>
  </si>
  <si>
    <t>ownership cost?   Use the AAI method of calculation.</t>
  </si>
  <si>
    <t xml:space="preserve">AAI = </t>
  </si>
  <si>
    <t>X (n+1)</t>
  </si>
  <si>
    <t>X (n-1)</t>
  </si>
  <si>
    <t>2 X</t>
  </si>
  <si>
    <t>yr</t>
  </si>
  <si>
    <t>Interest part =</t>
  </si>
  <si>
    <t>Straight line depreciation part</t>
  </si>
  <si>
    <t>less</t>
  </si>
  <si>
    <t>Depreciation portion of ownership cost using the AAI method</t>
  </si>
  <si>
    <t>Pushem Down clearing contractors purchases a dozer for</t>
  </si>
  <si>
    <t xml:space="preserve">The company believes it can sell the used dozer after </t>
  </si>
  <si>
    <t>of</t>
  </si>
  <si>
    <t>hr/year</t>
  </si>
  <si>
    <t xml:space="preserve">service for </t>
  </si>
  <si>
    <t>There will be no major overhauls. The  cost of capital is</t>
  </si>
  <si>
    <t>and its tax rate is</t>
  </si>
  <si>
    <t xml:space="preserve">Property taxes, insurance, and storage will run </t>
  </si>
  <si>
    <t>Use the time value method to calculate the depreciation portion of the ownership cost.</t>
  </si>
  <si>
    <t xml:space="preserve">n = </t>
  </si>
  <si>
    <t>Adepreciation =</t>
  </si>
  <si>
    <t>per yr</t>
  </si>
  <si>
    <t>USSFF =</t>
  </si>
  <si>
    <t>Using the time value method the depreciation part of the ownership cost is:</t>
  </si>
  <si>
    <t>per hr</t>
  </si>
  <si>
    <t>Tax saving from depreciation</t>
  </si>
  <si>
    <t>Year</t>
  </si>
  <si>
    <t>5-yr property rates</t>
  </si>
  <si>
    <t>BVn-1</t>
  </si>
  <si>
    <t>Dn</t>
  </si>
  <si>
    <t>BVn</t>
  </si>
  <si>
    <t>Using equ. 2.10 the tax shielding effect for the machines service life would be:</t>
  </si>
  <si>
    <t>Shielded amount</t>
  </si>
  <si>
    <t>Dn X tax rate</t>
  </si>
  <si>
    <t>Total</t>
  </si>
  <si>
    <r>
      <t>Tax saving</t>
    </r>
    <r>
      <rPr>
        <sz val="10"/>
        <rFont val="Arial"/>
        <family val="0"/>
      </rPr>
      <t xml:space="preserve"> from depreciation =</t>
    </r>
  </si>
  <si>
    <t>per hour</t>
  </si>
  <si>
    <t xml:space="preserve">Major repairs and overhauls: </t>
  </si>
  <si>
    <t>None</t>
  </si>
  <si>
    <t>Taxes, insurance, and storage:</t>
  </si>
  <si>
    <t>AAI =</t>
  </si>
  <si>
    <t>Taxes, insurance, and storage =</t>
  </si>
  <si>
    <t xml:space="preserve">What is the ownship cost for the dozer? </t>
  </si>
  <si>
    <t>Ownership cost</t>
  </si>
  <si>
    <t xml:space="preserve">Earthmovers, Inc. purchases a grader to maintain haul roads. </t>
  </si>
  <si>
    <t xml:space="preserve">total hours </t>
  </si>
  <si>
    <t>The  cost-of-capital is</t>
  </si>
  <si>
    <t>There are no property taxes, but insurance and storage will run</t>
  </si>
  <si>
    <t xml:space="preserve">What is the owning cost for the grader? </t>
  </si>
  <si>
    <t>Cost of Tires   –</t>
  </si>
  <si>
    <t xml:space="preserve">Hours per yr = </t>
  </si>
  <si>
    <t>hours/yr</t>
  </si>
  <si>
    <t>The company believes it can sell the grader after</t>
  </si>
  <si>
    <t>min-hr</t>
  </si>
  <si>
    <t xml:space="preserve">The work will be steady at an efficiency equal to a </t>
  </si>
  <si>
    <t xml:space="preserve">of the time </t>
  </si>
  <si>
    <t xml:space="preserve">Calculate the fuel consumption using the engine consumption averages </t>
  </si>
  <si>
    <t>throttle</t>
  </si>
  <si>
    <t xml:space="preserve">and travel and dump at </t>
  </si>
  <si>
    <t xml:space="preserve"> while loading the bucket </t>
  </si>
  <si>
    <t>The engine will work at full throttle</t>
  </si>
  <si>
    <t xml:space="preserve">Fuel consumption diesel engine </t>
  </si>
  <si>
    <t>gal per fwhp-hr.</t>
  </si>
  <si>
    <t>Load factor</t>
  </si>
  <si>
    <t>Loading bucket</t>
  </si>
  <si>
    <t>Travel and Dump</t>
  </si>
  <si>
    <t>% throttle</t>
  </si>
  <si>
    <t>% time</t>
  </si>
  <si>
    <t>Time factor</t>
  </si>
  <si>
    <t>Combined factor</t>
  </si>
  <si>
    <t>Fuel comsumption =</t>
  </si>
  <si>
    <t xml:space="preserve">diesel-powered wheel loader will be used </t>
  </si>
  <si>
    <t xml:space="preserve">at an asphalt plant to moveaggregate from a stockpile to the feed hoppers. </t>
  </si>
  <si>
    <t>fwhp</t>
  </si>
  <si>
    <t xml:space="preserve">A </t>
  </si>
  <si>
    <t xml:space="preserve"> = </t>
  </si>
  <si>
    <t>gal/hr</t>
  </si>
  <si>
    <t>Table 2.2</t>
  </si>
  <si>
    <t>medium rating</t>
  </si>
  <si>
    <t xml:space="preserve">fwhp gasoline-powered pump will be used to dewater an excavation. </t>
  </si>
  <si>
    <t>A</t>
  </si>
  <si>
    <t>min-hour</t>
  </si>
  <si>
    <t>The work will be steady at an efficiency equal to a</t>
  </si>
  <si>
    <t>Calculate the theoretical fuel consumption.</t>
  </si>
  <si>
    <t xml:space="preserve">The engine will work at </t>
  </si>
  <si>
    <t>Fuel consumption gasoline engine</t>
  </si>
  <si>
    <t xml:space="preserve"> throttle. </t>
  </si>
  <si>
    <t>fwhp diesel-powered wheel loader will be used to load shot rock.</t>
  </si>
  <si>
    <t>This loader was purchased for</t>
  </si>
  <si>
    <t>years is</t>
  </si>
  <si>
    <t>The estimated salvage value at the end of</t>
  </si>
  <si>
    <t xml:space="preserve"> The company’s cost-of-capital is</t>
  </si>
  <si>
    <t>A set of tires costs</t>
  </si>
  <si>
    <t>The work efficiency will be equal to a</t>
  </si>
  <si>
    <t>of the time</t>
  </si>
  <si>
    <t xml:space="preserve">of full throttle to travel and dump. </t>
  </si>
  <si>
    <t>and at</t>
  </si>
  <si>
    <t xml:space="preserve">The crankcase capacity is </t>
  </si>
  <si>
    <t xml:space="preserve"> gal and the company </t>
  </si>
  <si>
    <t xml:space="preserve">has a policy to change oil every </t>
  </si>
  <si>
    <t xml:space="preserve">hours on this job. </t>
  </si>
  <si>
    <t xml:space="preserve">of the straight-line machine depreciation. </t>
  </si>
  <si>
    <t xml:space="preserve">The annual repair cost is </t>
  </si>
  <si>
    <t xml:space="preserve">Fuel cost </t>
  </si>
  <si>
    <t>/gal, and</t>
  </si>
  <si>
    <t>/gal.</t>
  </si>
  <si>
    <t xml:space="preserve"> oil is</t>
  </si>
  <si>
    <t>Lubricant cost</t>
  </si>
  <si>
    <t>Oil consumed =</t>
  </si>
  <si>
    <t>lb/hp-hr</t>
  </si>
  <si>
    <t>operating factor</t>
  </si>
  <si>
    <t>(operating factor)</t>
  </si>
  <si>
    <t>Equation 2.12</t>
  </si>
  <si>
    <t>lb/gal</t>
  </si>
  <si>
    <t>gal, crankcase capacity</t>
  </si>
  <si>
    <t>hr, between oil changes</t>
  </si>
  <si>
    <t>Cost of oil =</t>
  </si>
  <si>
    <t>per gal =</t>
  </si>
  <si>
    <t>other lubricants and filters are</t>
  </si>
  <si>
    <t>Total cost O&amp;G =</t>
  </si>
  <si>
    <t>Repair cost</t>
  </si>
  <si>
    <t>Salvage    -</t>
  </si>
  <si>
    <t>Cost tires -</t>
  </si>
  <si>
    <t>hours per year</t>
  </si>
  <si>
    <t>Cost of repairs =</t>
  </si>
  <si>
    <t>Tire Costs</t>
  </si>
  <si>
    <t>Tire repair cost =</t>
  </si>
  <si>
    <t>Will have to purchase a second set at the end of two years.</t>
  </si>
  <si>
    <t>hr per set of tires</t>
  </si>
  <si>
    <t>sets</t>
  </si>
  <si>
    <t>First set:</t>
  </si>
  <si>
    <t>use USCRF =</t>
  </si>
  <si>
    <t>Second set:</t>
  </si>
  <si>
    <t>use PWCAF =</t>
  </si>
  <si>
    <t>The second set will be purchased</t>
  </si>
  <si>
    <t>cost</t>
  </si>
  <si>
    <t>Total tire cost =</t>
  </si>
  <si>
    <t>repair</t>
  </si>
  <si>
    <t>2nd set</t>
  </si>
  <si>
    <t>1st set</t>
  </si>
  <si>
    <t>High wear item cost</t>
  </si>
  <si>
    <t xml:space="preserve">teeth = </t>
  </si>
  <si>
    <t>hours of loader operating time</t>
  </si>
  <si>
    <t>cost =</t>
  </si>
  <si>
    <t>Fuel</t>
  </si>
  <si>
    <t>Lubricants</t>
  </si>
  <si>
    <t>High wear</t>
  </si>
  <si>
    <t>Total operating cost =</t>
  </si>
  <si>
    <t xml:space="preserve">These are two separate transactions.  </t>
  </si>
  <si>
    <t xml:space="preserve">hr </t>
  </si>
  <si>
    <t xml:space="preserve">(full throttle)  loading </t>
  </si>
  <si>
    <t>The expected resale price (salvage value)</t>
  </si>
  <si>
    <t xml:space="preserve">will be required after </t>
  </si>
  <si>
    <r>
      <t>(b) What rate of interest (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 xml:space="preserve">), per period of time, should be use in this problem? </t>
    </r>
  </si>
  <si>
    <t xml:space="preserve">what will be the total amount of the interest? </t>
  </si>
  <si>
    <t>Chp 2 Equipment Economics</t>
  </si>
  <si>
    <t>9th ed. Problem Solutions</t>
  </si>
  <si>
    <t>×</t>
  </si>
  <si>
    <t xml:space="preserve">A machine cost </t>
  </si>
  <si>
    <t xml:space="preserve">For the machine described in problem 2.11 what is the depreciation part of machine </t>
  </si>
  <si>
    <t>and compare the result to a medium rating in Table 2.3.</t>
  </si>
  <si>
    <t>Ownership =</t>
  </si>
  <si>
    <t>Use =</t>
  </si>
  <si>
    <t>Major repairs =</t>
  </si>
  <si>
    <t>Tires 1 =</t>
  </si>
  <si>
    <t>Tires 2 =</t>
  </si>
  <si>
    <t>Tires 3 =</t>
  </si>
  <si>
    <t>Total per year =</t>
  </si>
  <si>
    <t xml:space="preserve"> 4yr =</t>
  </si>
  <si>
    <t>6yr =</t>
  </si>
  <si>
    <t xml:space="preserve"> 6yr =</t>
  </si>
  <si>
    <t xml:space="preserve">AAI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</si>
</sst>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"/>
    <numFmt numFmtId="171" formatCode="0.000"/>
    <numFmt numFmtId="172" formatCode="&quot;$&quot;#,##0.0"/>
    <numFmt numFmtId="173" formatCode="0.000000"/>
    <numFmt numFmtId="174" formatCode="0.0000000"/>
    <numFmt numFmtId="175" formatCode="0.0%"/>
    <numFmt numFmtId="176" formatCode="0.0000"/>
    <numFmt numFmtId="177" formatCode="&quot;$&quot;#,##0.000"/>
    <numFmt numFmtId="178" formatCode="0.00000000"/>
    <numFmt numFmtId="179" formatCode="0.00000"/>
    <numFmt numFmtId="180" formatCode="&quot;$&quot;#,##0.000_);[Red]\(&quot;$&quot;#,##0.000\)"/>
    <numFmt numFmtId="181" formatCode="0.000000000000000%"/>
    <numFmt numFmtId="182" formatCode="0.0000%"/>
    <numFmt numFmtId="183" formatCode="0.000%"/>
    <numFmt numFmtId="184" formatCode="&quot;$&quot;#,##0.0000"/>
  </numFmts>
  <fonts count="57">
    <font>
      <sz val="10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8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0" fillId="0" borderId="10" xfId="0" applyNumberFormat="1" applyBorder="1" applyAlignment="1">
      <alignment/>
    </xf>
    <xf numFmtId="0" fontId="9" fillId="0" borderId="0" xfId="0" applyFont="1" applyAlignment="1">
      <alignment horizontal="right"/>
    </xf>
    <xf numFmtId="169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168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8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168" fontId="0" fillId="0" borderId="0" xfId="0" applyNumberFormat="1" applyAlignment="1">
      <alignment horizontal="center"/>
    </xf>
    <xf numFmtId="1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169" fontId="8" fillId="33" borderId="0" xfId="0" applyNumberFormat="1" applyFont="1" applyFill="1" applyBorder="1" applyAlignment="1">
      <alignment/>
    </xf>
    <xf numFmtId="168" fontId="8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6" fontId="8" fillId="0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75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0" fontId="8" fillId="33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70" fontId="0" fillId="0" borderId="0" xfId="0" applyNumberFormat="1" applyAlignment="1">
      <alignment/>
    </xf>
    <xf numFmtId="176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center"/>
    </xf>
    <xf numFmtId="177" fontId="9" fillId="0" borderId="0" xfId="0" applyNumberFormat="1" applyFont="1" applyAlignment="1">
      <alignment/>
    </xf>
    <xf numFmtId="169" fontId="19" fillId="0" borderId="1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right"/>
    </xf>
    <xf numFmtId="168" fontId="8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8" fillId="33" borderId="0" xfId="0" applyNumberFormat="1" applyFont="1" applyFill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10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168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10" fontId="8" fillId="33" borderId="0" xfId="0" applyNumberFormat="1" applyFont="1" applyFill="1" applyAlignment="1">
      <alignment/>
    </xf>
    <xf numFmtId="178" fontId="0" fillId="0" borderId="10" xfId="0" applyNumberFormat="1" applyBorder="1" applyAlignment="1">
      <alignment/>
    </xf>
    <xf numFmtId="2" fontId="1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168" fontId="8" fillId="33" borderId="0" xfId="0" applyNumberFormat="1" applyFont="1" applyFill="1" applyAlignment="1">
      <alignment horizontal="center"/>
    </xf>
    <xf numFmtId="168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3" fontId="8" fillId="33" borderId="0" xfId="0" applyNumberFormat="1" applyFont="1" applyFill="1" applyAlignment="1">
      <alignment horizontal="center"/>
    </xf>
    <xf numFmtId="171" fontId="0" fillId="0" borderId="10" xfId="0" applyNumberFormat="1" applyBorder="1" applyAlignment="1">
      <alignment horizontal="center"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10" fontId="0" fillId="0" borderId="1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7" fontId="0" fillId="0" borderId="0" xfId="0" applyNumberFormat="1" applyAlignment="1">
      <alignment horizontal="center"/>
    </xf>
    <xf numFmtId="0" fontId="8" fillId="33" borderId="0" xfId="0" applyFont="1" applyFill="1" applyAlignment="1">
      <alignment/>
    </xf>
    <xf numFmtId="10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68" fontId="0" fillId="0" borderId="12" xfId="0" applyNumberFormat="1" applyBorder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10" xfId="0" applyNumberFormat="1" applyBorder="1" applyAlignment="1">
      <alignment horizontal="center"/>
    </xf>
    <xf numFmtId="180" fontId="1" fillId="0" borderId="0" xfId="0" applyNumberFormat="1" applyFont="1" applyAlignment="1">
      <alignment/>
    </xf>
    <xf numFmtId="2" fontId="20" fillId="0" borderId="0" xfId="0" applyNumberFormat="1" applyFont="1" applyAlignment="1">
      <alignment horizontal="center"/>
    </xf>
    <xf numFmtId="10" fontId="0" fillId="0" borderId="10" xfId="0" applyNumberFormat="1" applyBorder="1" applyAlignment="1">
      <alignment/>
    </xf>
    <xf numFmtId="170" fontId="1" fillId="0" borderId="0" xfId="0" applyNumberFormat="1" applyFont="1" applyAlignment="1">
      <alignment/>
    </xf>
    <xf numFmtId="175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 horizontal="center"/>
    </xf>
    <xf numFmtId="169" fontId="8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70" fontId="1" fillId="0" borderId="0" xfId="0" applyNumberFormat="1" applyFont="1" applyAlignment="1">
      <alignment horizontal="center"/>
    </xf>
    <xf numFmtId="0" fontId="8" fillId="33" borderId="0" xfId="0" applyFont="1" applyFill="1" applyAlignment="1">
      <alignment/>
    </xf>
    <xf numFmtId="9" fontId="0" fillId="0" borderId="0" xfId="0" applyNumberFormat="1" applyAlignment="1">
      <alignment/>
    </xf>
    <xf numFmtId="9" fontId="8" fillId="33" borderId="0" xfId="0" applyNumberFormat="1" applyFont="1" applyFill="1" applyAlignment="1">
      <alignment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Border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Border="1" applyAlignment="1">
      <alignment horizontal="center"/>
    </xf>
    <xf numFmtId="184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4"/>
  <sheetViews>
    <sheetView tabSelected="1" zoomScalePageLayoutView="0" workbookViewId="0" topLeftCell="A2">
      <selection activeCell="K399" sqref="K399"/>
    </sheetView>
  </sheetViews>
  <sheetFormatPr defaultColWidth="9.140625" defaultRowHeight="14.25" customHeight="1"/>
  <cols>
    <col min="1" max="1" width="4.8515625" style="1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  <col min="6" max="6" width="11.140625" style="0" bestFit="1" customWidth="1"/>
    <col min="7" max="7" width="9.8515625" style="0" customWidth="1"/>
    <col min="8" max="8" width="11.57421875" style="0" customWidth="1"/>
    <col min="9" max="9" width="6.8515625" style="0" customWidth="1"/>
    <col min="10" max="10" width="9.8515625" style="26" customWidth="1"/>
    <col min="11" max="11" width="10.140625" style="0" bestFit="1" customWidth="1"/>
  </cols>
  <sheetData>
    <row r="1" spans="1:10" s="153" customFormat="1" ht="18.75" customHeight="1">
      <c r="A1" s="152" t="s">
        <v>332</v>
      </c>
      <c r="J1" s="154"/>
    </row>
    <row r="2" spans="1:4" ht="17.25" customHeight="1">
      <c r="A2" s="155" t="s">
        <v>333</v>
      </c>
      <c r="B2" s="155"/>
      <c r="C2" s="155"/>
      <c r="D2" s="3"/>
    </row>
    <row r="3" spans="1:6" ht="14.25" customHeight="1">
      <c r="A3" s="1">
        <v>2.1</v>
      </c>
      <c r="B3" t="s">
        <v>54</v>
      </c>
      <c r="E3" s="46">
        <v>0.06</v>
      </c>
      <c r="F3" t="s">
        <v>55</v>
      </c>
    </row>
    <row r="4" spans="2:6" ht="14.25" customHeight="1">
      <c r="B4" s="37">
        <v>20000</v>
      </c>
      <c r="C4" t="s">
        <v>53</v>
      </c>
      <c r="E4" s="47">
        <v>5</v>
      </c>
      <c r="F4" t="s">
        <v>57</v>
      </c>
    </row>
    <row r="5" ht="14.25" customHeight="1">
      <c r="B5" t="s">
        <v>58</v>
      </c>
    </row>
    <row r="7" spans="2:4" ht="14.25" customHeight="1">
      <c r="B7" s="27" t="s">
        <v>60</v>
      </c>
      <c r="C7" s="26" t="s">
        <v>59</v>
      </c>
      <c r="D7">
        <f>(1+E3)^E4</f>
        <v>1.3382255776000005</v>
      </c>
    </row>
    <row r="8" spans="2:7" ht="14.25" customHeight="1">
      <c r="B8" s="27" t="s">
        <v>56</v>
      </c>
      <c r="C8" s="28">
        <f>B4</f>
        <v>20000</v>
      </c>
      <c r="D8" s="26" t="s">
        <v>18</v>
      </c>
      <c r="E8">
        <f>D7</f>
        <v>1.3382255776000005</v>
      </c>
      <c r="F8" s="26" t="s">
        <v>19</v>
      </c>
      <c r="G8" s="6">
        <f>C8*E8</f>
        <v>26764.51155200001</v>
      </c>
    </row>
    <row r="13" spans="1:9" ht="14.25" customHeight="1">
      <c r="A13" s="1">
        <v>2.2</v>
      </c>
      <c r="B13" t="s">
        <v>61</v>
      </c>
      <c r="F13" s="46">
        <v>0.065</v>
      </c>
      <c r="G13" t="s">
        <v>62</v>
      </c>
      <c r="I13" s="26"/>
    </row>
    <row r="14" spans="2:6" ht="14.25" customHeight="1">
      <c r="B14" s="37">
        <v>35000</v>
      </c>
      <c r="C14" t="s">
        <v>63</v>
      </c>
      <c r="E14" s="47">
        <v>5</v>
      </c>
      <c r="F14" t="s">
        <v>162</v>
      </c>
    </row>
    <row r="15" ht="14.25" customHeight="1">
      <c r="B15" s="34" t="s">
        <v>331</v>
      </c>
    </row>
    <row r="17" spans="2:4" ht="14.25" customHeight="1">
      <c r="B17" s="27" t="s">
        <v>60</v>
      </c>
      <c r="C17" s="26" t="s">
        <v>59</v>
      </c>
      <c r="D17">
        <f>(1+F13)^E14</f>
        <v>1.3700866634156246</v>
      </c>
    </row>
    <row r="18" spans="2:7" ht="14.25" customHeight="1">
      <c r="B18" s="27" t="s">
        <v>56</v>
      </c>
      <c r="C18" s="28">
        <f>B14</f>
        <v>35000</v>
      </c>
      <c r="D18" s="26" t="s">
        <v>18</v>
      </c>
      <c r="E18">
        <f>D17</f>
        <v>1.3700866634156246</v>
      </c>
      <c r="F18" s="26" t="s">
        <v>19</v>
      </c>
      <c r="G18" s="6">
        <f>C18*E18</f>
        <v>47953.03321954686</v>
      </c>
    </row>
    <row r="19" ht="14.25" customHeight="1">
      <c r="G19" s="14">
        <f>B14</f>
        <v>35000</v>
      </c>
    </row>
    <row r="20" spans="7:8" ht="14.25" customHeight="1">
      <c r="G20" s="16">
        <f>G18-G19</f>
        <v>12953.033219546858</v>
      </c>
      <c r="H20" t="s">
        <v>64</v>
      </c>
    </row>
    <row r="24" spans="1:10" s="18" customFormat="1" ht="14.25" customHeight="1">
      <c r="A24" s="1">
        <v>2.3</v>
      </c>
      <c r="B24" s="20" t="s">
        <v>35</v>
      </c>
      <c r="G24" s="37">
        <v>30000</v>
      </c>
      <c r="J24" s="79"/>
    </row>
    <row r="25" spans="1:10" s="18" customFormat="1" ht="14.25" customHeight="1">
      <c r="A25" s="1"/>
      <c r="B25" s="36" t="s">
        <v>128</v>
      </c>
      <c r="D25" s="100">
        <v>6</v>
      </c>
      <c r="E25" s="18" t="s">
        <v>129</v>
      </c>
      <c r="J25" s="79"/>
    </row>
    <row r="26" spans="1:10" s="18" customFormat="1" ht="14.25" customHeight="1">
      <c r="A26" s="1"/>
      <c r="B26" s="36" t="s">
        <v>127</v>
      </c>
      <c r="D26" s="38">
        <v>0.0325</v>
      </c>
      <c r="E26" s="18" t="s">
        <v>37</v>
      </c>
      <c r="G26" s="99"/>
      <c r="J26" s="79"/>
    </row>
    <row r="27" spans="1:10" s="18" customFormat="1" ht="14.25" customHeight="1">
      <c r="A27" s="1"/>
      <c r="B27" s="36" t="s">
        <v>12</v>
      </c>
      <c r="J27" s="79"/>
    </row>
    <row r="28" spans="1:10" s="18" customFormat="1" ht="14.25" customHeight="1">
      <c r="A28" s="1"/>
      <c r="B28" s="36" t="s">
        <v>13</v>
      </c>
      <c r="J28" s="79"/>
    </row>
    <row r="30" spans="2:11" ht="14.25" customHeight="1">
      <c r="B30" s="17" t="s">
        <v>21</v>
      </c>
      <c r="C30" s="19"/>
      <c r="D30" s="19"/>
      <c r="E30" s="19"/>
      <c r="F30" s="19"/>
      <c r="G30" s="19"/>
      <c r="H30" s="8"/>
      <c r="I30" s="1">
        <f>D25</f>
        <v>6</v>
      </c>
      <c r="K30" s="3"/>
    </row>
    <row r="31" spans="2:11" ht="14.25" customHeight="1">
      <c r="B31" s="17" t="s">
        <v>22</v>
      </c>
      <c r="C31" s="19"/>
      <c r="D31" s="19"/>
      <c r="E31" s="19"/>
      <c r="F31" s="19"/>
      <c r="G31" s="19"/>
      <c r="H31" s="8"/>
      <c r="I31" s="88">
        <f>D26</f>
        <v>0.0325</v>
      </c>
      <c r="K31" s="3"/>
    </row>
    <row r="32" spans="2:11" ht="14.25" customHeight="1">
      <c r="B32" s="17" t="s">
        <v>15</v>
      </c>
      <c r="C32" s="19"/>
      <c r="D32" s="19"/>
      <c r="E32" s="19"/>
      <c r="F32" s="19"/>
      <c r="G32" s="19"/>
      <c r="H32" s="89">
        <f>G24</f>
        <v>30000</v>
      </c>
      <c r="I32" s="156" t="s">
        <v>14</v>
      </c>
      <c r="K32" s="3"/>
    </row>
    <row r="33" spans="2:9" ht="14.25" customHeight="1">
      <c r="B33" s="17" t="s">
        <v>16</v>
      </c>
      <c r="C33" s="19"/>
      <c r="D33" s="19"/>
      <c r="E33" s="19"/>
      <c r="F33" s="19"/>
      <c r="G33" s="19"/>
      <c r="H33" s="8"/>
      <c r="I33" s="8"/>
    </row>
    <row r="34" spans="2:9" ht="14.25" customHeight="1">
      <c r="B34" s="9"/>
      <c r="C34" s="43" t="s">
        <v>48</v>
      </c>
      <c r="D34" s="8"/>
      <c r="E34" s="8"/>
      <c r="F34" s="10"/>
      <c r="G34" s="8"/>
      <c r="H34" s="8"/>
      <c r="I34" s="8"/>
    </row>
    <row r="35" spans="2:9" ht="14.25" customHeight="1">
      <c r="B35" s="21" t="s">
        <v>23</v>
      </c>
      <c r="C35" s="7"/>
      <c r="D35" s="8"/>
      <c r="E35" s="8"/>
      <c r="F35" s="10"/>
      <c r="G35" s="8"/>
      <c r="H35" s="8"/>
      <c r="I35" s="8"/>
    </row>
    <row r="36" spans="2:9" ht="14.25" customHeight="1">
      <c r="B36" s="5" t="s">
        <v>17</v>
      </c>
      <c r="C36" s="12">
        <f>H32</f>
        <v>30000</v>
      </c>
      <c r="D36" s="157" t="s">
        <v>334</v>
      </c>
      <c r="E36" s="8">
        <f>(1+I31)^I30</f>
        <v>1.2115472661938496</v>
      </c>
      <c r="F36" s="11" t="s">
        <v>19</v>
      </c>
      <c r="H36" s="16">
        <f>C36*E36</f>
        <v>36346.41798581549</v>
      </c>
      <c r="I36" s="8"/>
    </row>
    <row r="37" spans="2:9" ht="14.25" customHeight="1">
      <c r="B37" s="8"/>
      <c r="C37" s="8"/>
      <c r="D37" s="8"/>
      <c r="E37" s="8"/>
      <c r="F37" s="8"/>
      <c r="G37" s="8"/>
      <c r="H37" s="8"/>
      <c r="I37" s="8"/>
    </row>
    <row r="38" spans="2:9" ht="14.25" customHeight="1">
      <c r="B38" s="20" t="s">
        <v>20</v>
      </c>
      <c r="C38" s="8"/>
      <c r="D38" s="8"/>
      <c r="E38" s="8"/>
      <c r="F38" s="8"/>
      <c r="G38" s="8"/>
      <c r="H38" s="8"/>
      <c r="I38" s="8"/>
    </row>
    <row r="39" ht="14.25" customHeight="1">
      <c r="G39" s="6">
        <f>H36</f>
        <v>36346.41798581549</v>
      </c>
    </row>
    <row r="40" ht="14.25" customHeight="1">
      <c r="G40" s="14">
        <f>H32</f>
        <v>30000</v>
      </c>
    </row>
    <row r="41" ht="14.25" customHeight="1">
      <c r="G41" s="16">
        <f>G39-G40</f>
        <v>6346.417985815489</v>
      </c>
    </row>
    <row r="42" ht="14.25" customHeight="1">
      <c r="G42" s="16"/>
    </row>
    <row r="43" ht="14.25" customHeight="1">
      <c r="G43" s="16"/>
    </row>
    <row r="44" ht="14.25" customHeight="1">
      <c r="G44" s="16"/>
    </row>
    <row r="45" ht="14.25" customHeight="1">
      <c r="G45" s="16"/>
    </row>
    <row r="48" ht="14.25" customHeight="1">
      <c r="G48" s="16"/>
    </row>
    <row r="49" spans="1:8" ht="14.25" customHeight="1">
      <c r="A49" s="1">
        <v>2.4</v>
      </c>
      <c r="B49" s="18" t="s">
        <v>38</v>
      </c>
      <c r="C49" s="18"/>
      <c r="D49" s="18"/>
      <c r="H49" s="40">
        <v>0.055</v>
      </c>
    </row>
    <row r="50" spans="2:8" ht="14.25" customHeight="1">
      <c r="B50" s="18" t="s">
        <v>39</v>
      </c>
      <c r="C50" s="18"/>
      <c r="D50" s="18"/>
      <c r="E50" s="39">
        <v>550000</v>
      </c>
      <c r="F50" t="s">
        <v>40</v>
      </c>
      <c r="G50" s="41">
        <v>5</v>
      </c>
      <c r="H50" t="s">
        <v>41</v>
      </c>
    </row>
    <row r="52" spans="2:11" ht="14.25" customHeight="1">
      <c r="B52" s="25" t="s">
        <v>26</v>
      </c>
      <c r="C52" s="8"/>
      <c r="D52" s="8"/>
      <c r="E52" s="8"/>
      <c r="F52" s="8"/>
      <c r="G52" s="8"/>
      <c r="H52" s="8"/>
      <c r="I52" s="1">
        <f>G50</f>
        <v>5</v>
      </c>
      <c r="K52" s="3"/>
    </row>
    <row r="53" spans="2:11" ht="14.25" customHeight="1">
      <c r="B53" s="24" t="s">
        <v>330</v>
      </c>
      <c r="C53" s="8"/>
      <c r="D53" s="8"/>
      <c r="E53" s="8"/>
      <c r="F53" s="8"/>
      <c r="G53" s="8"/>
      <c r="H53" s="8"/>
      <c r="I53" s="88">
        <f>H49</f>
        <v>0.055</v>
      </c>
      <c r="K53" s="3"/>
    </row>
    <row r="54" spans="2:11" ht="14.25" customHeight="1">
      <c r="B54" s="24" t="s">
        <v>15</v>
      </c>
      <c r="C54" s="8"/>
      <c r="D54" s="8"/>
      <c r="E54" s="8"/>
      <c r="F54" s="8"/>
      <c r="G54" s="8"/>
      <c r="H54" s="8"/>
      <c r="I54" s="156" t="s">
        <v>25</v>
      </c>
      <c r="K54" s="3"/>
    </row>
    <row r="55" spans="2:8" ht="14.25" customHeight="1">
      <c r="B55" s="24" t="s">
        <v>29</v>
      </c>
      <c r="H55" s="89">
        <f>E50</f>
        <v>550000</v>
      </c>
    </row>
    <row r="56" spans="2:8" ht="14.25" customHeight="1">
      <c r="B56" s="25" t="s">
        <v>28</v>
      </c>
      <c r="H56" s="26"/>
    </row>
    <row r="57" ht="14.25" customHeight="1">
      <c r="C57" s="43" t="s">
        <v>47</v>
      </c>
    </row>
    <row r="58" ht="14.25" customHeight="1">
      <c r="B58" s="4" t="s">
        <v>65</v>
      </c>
    </row>
    <row r="60" spans="2:8" ht="14.25" customHeight="1">
      <c r="B60" s="27" t="s">
        <v>27</v>
      </c>
      <c r="D60" s="26" t="s">
        <v>19</v>
      </c>
      <c r="E60" s="29">
        <f>H55</f>
        <v>550000</v>
      </c>
      <c r="F60" s="26" t="s">
        <v>19</v>
      </c>
      <c r="H60" s="16">
        <f>E60/E61</f>
        <v>548489.9924258007</v>
      </c>
    </row>
    <row r="61" ht="14.25" customHeight="1">
      <c r="E61" s="26">
        <f>(1+I53/100)^I52</f>
        <v>1.0027530266642077</v>
      </c>
    </row>
    <row r="62" ht="14.25" customHeight="1">
      <c r="E62" s="26"/>
    </row>
    <row r="65" spans="1:8" ht="14.25" customHeight="1">
      <c r="A65" s="1">
        <v>2.5</v>
      </c>
      <c r="B65" s="34" t="s">
        <v>35</v>
      </c>
      <c r="C65" s="35"/>
      <c r="H65" s="39">
        <v>42000</v>
      </c>
    </row>
    <row r="66" spans="2:7" ht="14.25" customHeight="1">
      <c r="B66" s="34" t="s">
        <v>42</v>
      </c>
      <c r="C66" s="35"/>
      <c r="F66" s="40">
        <v>0.075</v>
      </c>
      <c r="G66" s="34" t="s">
        <v>36</v>
      </c>
    </row>
    <row r="67" spans="2:5" ht="14.25" customHeight="1">
      <c r="B67" s="34" t="s">
        <v>43</v>
      </c>
      <c r="D67" s="41">
        <v>5</v>
      </c>
      <c r="E67" s="34" t="s">
        <v>44</v>
      </c>
    </row>
    <row r="68" spans="2:3" ht="14.25" customHeight="1">
      <c r="B68" s="34" t="s">
        <v>45</v>
      </c>
      <c r="C68" s="35"/>
    </row>
    <row r="70" spans="2:11" ht="14.25" customHeight="1">
      <c r="B70" s="2" t="s">
        <v>30</v>
      </c>
      <c r="C70" s="8"/>
      <c r="D70" s="8"/>
      <c r="E70" s="8"/>
      <c r="F70" s="8"/>
      <c r="G70" s="8"/>
      <c r="H70" s="8"/>
      <c r="I70" s="1">
        <f>C71*E71</f>
        <v>60</v>
      </c>
      <c r="K70" s="3"/>
    </row>
    <row r="71" spans="3:6" ht="14.25" customHeight="1">
      <c r="C71">
        <f>D67</f>
        <v>5</v>
      </c>
      <c r="D71" s="26" t="s">
        <v>31</v>
      </c>
      <c r="E71" s="26">
        <v>12</v>
      </c>
      <c r="F71" t="s">
        <v>32</v>
      </c>
    </row>
    <row r="72" ht="14.25" customHeight="1">
      <c r="B72" s="22" t="s">
        <v>33</v>
      </c>
    </row>
    <row r="73" spans="5:8" ht="14.25" customHeight="1">
      <c r="E73" s="112">
        <f>F66</f>
        <v>0.075</v>
      </c>
      <c r="F73" s="31"/>
      <c r="H73" s="90">
        <f>E73/E74</f>
        <v>0.0062499999999999995</v>
      </c>
    </row>
    <row r="74" spans="5:6" ht="14.25" customHeight="1">
      <c r="E74" s="33">
        <v>12</v>
      </c>
      <c r="F74" s="32" t="s">
        <v>34</v>
      </c>
    </row>
    <row r="75" spans="2:9" ht="14.25" customHeight="1">
      <c r="B75" s="2" t="s">
        <v>46</v>
      </c>
      <c r="C75" s="8"/>
      <c r="D75" s="8"/>
      <c r="E75" s="8"/>
      <c r="F75" s="8"/>
      <c r="G75" s="8"/>
      <c r="H75" s="89">
        <f>H65</f>
        <v>42000</v>
      </c>
      <c r="I75" s="156" t="s">
        <v>14</v>
      </c>
    </row>
    <row r="76" ht="14.25" customHeight="1">
      <c r="B76" s="23" t="s">
        <v>24</v>
      </c>
    </row>
    <row r="77" ht="14.25" customHeight="1">
      <c r="C77" s="44" t="s">
        <v>49</v>
      </c>
    </row>
    <row r="79" ht="14.25" customHeight="1">
      <c r="B79" s="27" t="s">
        <v>17</v>
      </c>
    </row>
    <row r="80" ht="14.25" customHeight="1">
      <c r="F80" s="26"/>
    </row>
    <row r="82" ht="14.25" customHeight="1">
      <c r="B82" s="3" t="s">
        <v>50</v>
      </c>
    </row>
    <row r="84" spans="3:7" ht="14.25" customHeight="1">
      <c r="C84" s="45">
        <f>H75</f>
        <v>42000</v>
      </c>
      <c r="D84" s="26" t="s">
        <v>18</v>
      </c>
      <c r="E84" s="31">
        <f>H73*(1+H73)^I70</f>
        <v>0.00908309005172812</v>
      </c>
      <c r="F84" s="26" t="s">
        <v>19</v>
      </c>
      <c r="G84" s="16">
        <f>C84*E84/E85</f>
        <v>841.5938410161921</v>
      </c>
    </row>
    <row r="85" ht="14.25" customHeight="1">
      <c r="E85">
        <f>((1+H73)^I70)-1</f>
        <v>0.45329440827649936</v>
      </c>
    </row>
    <row r="86" ht="14.25" customHeight="1">
      <c r="B86" s="30" t="s">
        <v>51</v>
      </c>
    </row>
    <row r="87" spans="8:10" ht="14.25" customHeight="1">
      <c r="H87" s="91">
        <f>G84*I70</f>
        <v>50495.63046097152</v>
      </c>
      <c r="J87" s="27"/>
    </row>
    <row r="88" spans="2:7" ht="14.25" customHeight="1">
      <c r="B88" s="30" t="s">
        <v>52</v>
      </c>
      <c r="G88" s="91">
        <f>H87-H75</f>
        <v>8495.630460971523</v>
      </c>
    </row>
    <row r="89" spans="2:7" ht="14.25" customHeight="1">
      <c r="B89" s="30"/>
      <c r="G89" s="91"/>
    </row>
    <row r="90" spans="2:7" ht="14.25" customHeight="1">
      <c r="B90" s="30"/>
      <c r="G90" s="91"/>
    </row>
    <row r="91" spans="2:7" ht="14.25" customHeight="1">
      <c r="B91" s="30"/>
      <c r="G91" s="91"/>
    </row>
    <row r="93" spans="1:10" ht="14.25" customHeight="1">
      <c r="A93" s="48">
        <v>2.6</v>
      </c>
      <c r="B93" s="49" t="s">
        <v>66</v>
      </c>
      <c r="C93" s="50"/>
      <c r="D93" s="56">
        <v>165500</v>
      </c>
      <c r="E93" s="50" t="s">
        <v>67</v>
      </c>
      <c r="F93" s="50"/>
      <c r="G93" s="51"/>
      <c r="H93" s="50"/>
      <c r="I93" s="50"/>
      <c r="J93" s="53"/>
    </row>
    <row r="94" spans="1:10" ht="14.25" customHeight="1">
      <c r="A94" s="48"/>
      <c r="B94" s="52" t="s">
        <v>69</v>
      </c>
      <c r="C94" s="50"/>
      <c r="D94" s="50"/>
      <c r="E94" s="53"/>
      <c r="F94" s="50"/>
      <c r="G94" s="55">
        <v>35</v>
      </c>
      <c r="H94" s="50" t="s">
        <v>68</v>
      </c>
      <c r="I94" s="34"/>
      <c r="J94" s="53"/>
    </row>
    <row r="95" spans="1:9" ht="14.25" customHeight="1">
      <c r="A95" s="48"/>
      <c r="B95" s="50" t="s">
        <v>70</v>
      </c>
      <c r="C95" s="50"/>
      <c r="D95" s="50"/>
      <c r="E95" s="56">
        <v>26000</v>
      </c>
      <c r="F95" s="57" t="s">
        <v>329</v>
      </c>
      <c r="H95" s="59">
        <v>7200</v>
      </c>
      <c r="I95" s="57" t="s">
        <v>87</v>
      </c>
    </row>
    <row r="96" spans="1:10" ht="14.25" customHeight="1">
      <c r="A96" s="48"/>
      <c r="B96" s="57" t="s">
        <v>328</v>
      </c>
      <c r="C96" s="53"/>
      <c r="D96" s="50"/>
      <c r="E96" s="50"/>
      <c r="F96" s="60">
        <v>0.21</v>
      </c>
      <c r="G96" s="50" t="s">
        <v>71</v>
      </c>
      <c r="H96" s="50"/>
      <c r="J96" s="53"/>
    </row>
    <row r="97" spans="1:10" ht="14.25" customHeight="1">
      <c r="A97" s="48"/>
      <c r="B97" s="57" t="s">
        <v>72</v>
      </c>
      <c r="C97" s="52"/>
      <c r="D97" s="53"/>
      <c r="E97" s="59">
        <v>10800</v>
      </c>
      <c r="F97" s="57" t="s">
        <v>73</v>
      </c>
      <c r="G97" s="54"/>
      <c r="H97" s="50"/>
      <c r="I97" s="50"/>
      <c r="J97" s="53"/>
    </row>
    <row r="98" spans="1:10" ht="14.25" customHeight="1">
      <c r="A98" s="48"/>
      <c r="B98" s="50" t="s">
        <v>74</v>
      </c>
      <c r="C98" s="50"/>
      <c r="D98" s="50"/>
      <c r="E98" s="58"/>
      <c r="F98" s="50"/>
      <c r="G98" s="54"/>
      <c r="H98" s="50"/>
      <c r="I98" s="50"/>
      <c r="J98" s="53"/>
    </row>
    <row r="99" spans="1:10" ht="14.25" customHeight="1">
      <c r="A99" s="48"/>
      <c r="B99" s="50" t="s">
        <v>75</v>
      </c>
      <c r="C99" s="50"/>
      <c r="D99" s="50"/>
      <c r="E99" s="50"/>
      <c r="F99" s="50"/>
      <c r="G99" s="61">
        <v>1800</v>
      </c>
      <c r="H99" s="50" t="s">
        <v>76</v>
      </c>
      <c r="I99" s="50"/>
      <c r="J99" s="53"/>
    </row>
    <row r="100" spans="2:10" ht="14.25" customHeight="1">
      <c r="B100" s="34" t="s">
        <v>77</v>
      </c>
      <c r="C100" s="34"/>
      <c r="D100" s="34"/>
      <c r="E100" s="34"/>
      <c r="F100" s="62">
        <v>0.073</v>
      </c>
      <c r="G100" s="34" t="s">
        <v>78</v>
      </c>
      <c r="H100" s="34"/>
      <c r="I100" s="34"/>
      <c r="J100" s="67"/>
    </row>
    <row r="101" spans="2:9" ht="6" customHeight="1">
      <c r="B101" s="34"/>
      <c r="C101" s="34"/>
      <c r="D101" s="34"/>
      <c r="E101" s="34"/>
      <c r="F101" s="34"/>
      <c r="G101" s="34"/>
      <c r="H101" s="34"/>
      <c r="I101" s="34"/>
    </row>
    <row r="102" spans="2:9" ht="14.25" customHeight="1">
      <c r="B102" s="34" t="s">
        <v>79</v>
      </c>
      <c r="C102" s="34"/>
      <c r="D102" s="34"/>
      <c r="E102" s="65">
        <f>E97</f>
        <v>10800</v>
      </c>
      <c r="F102" s="66" t="s">
        <v>80</v>
      </c>
      <c r="G102" s="67" t="s">
        <v>19</v>
      </c>
      <c r="H102" s="34">
        <f>E102/E103</f>
        <v>6</v>
      </c>
      <c r="I102" s="34" t="s">
        <v>82</v>
      </c>
    </row>
    <row r="103" spans="2:9" ht="14.25" customHeight="1">
      <c r="B103" s="34"/>
      <c r="C103" s="34"/>
      <c r="D103" s="34"/>
      <c r="E103" s="64">
        <f>G99</f>
        <v>1800</v>
      </c>
      <c r="F103" s="34" t="s">
        <v>81</v>
      </c>
      <c r="G103" s="34"/>
      <c r="H103" s="34"/>
      <c r="I103" s="34"/>
    </row>
    <row r="104" spans="2:9" ht="4.5" customHeight="1">
      <c r="B104" s="34"/>
      <c r="C104" s="34"/>
      <c r="D104" s="34"/>
      <c r="E104" s="34"/>
      <c r="F104" s="34"/>
      <c r="G104" s="34"/>
      <c r="H104" s="34"/>
      <c r="I104" s="34"/>
    </row>
    <row r="105" spans="3:9" ht="14.25" customHeight="1">
      <c r="C105" s="15" t="s">
        <v>338</v>
      </c>
      <c r="D105" s="12">
        <f>D93</f>
        <v>165500</v>
      </c>
      <c r="E105" s="67" t="s">
        <v>18</v>
      </c>
      <c r="F105" s="94" t="str">
        <f>B107</f>
        <v>USCRF-6 yr =</v>
      </c>
      <c r="G105" s="67"/>
      <c r="H105" s="16">
        <f>D105*E107</f>
        <v>35043.41270732131</v>
      </c>
      <c r="I105" s="34"/>
    </row>
    <row r="106" spans="2:9" ht="14.25" customHeight="1">
      <c r="B106" s="34"/>
      <c r="C106" s="34"/>
      <c r="D106" s="12"/>
      <c r="E106" s="67"/>
      <c r="F106" s="67"/>
      <c r="G106" s="67"/>
      <c r="H106" s="16"/>
      <c r="I106" s="34"/>
    </row>
    <row r="107" spans="2:5" ht="14.25" customHeight="1">
      <c r="B107" s="27" t="s">
        <v>102</v>
      </c>
      <c r="C107" s="31">
        <f>(F100*(1+F100)^H102)</f>
        <v>0.1114092349466512</v>
      </c>
      <c r="D107" s="26" t="s">
        <v>19</v>
      </c>
      <c r="E107">
        <f>C107/C108</f>
        <v>0.2117426749687088</v>
      </c>
    </row>
    <row r="108" ht="14.25" customHeight="1">
      <c r="C108">
        <f>(1+F100)^H102-1</f>
        <v>0.5261539033787836</v>
      </c>
    </row>
    <row r="110" spans="3:8" ht="14.25" customHeight="1">
      <c r="C110" s="30" t="s">
        <v>339</v>
      </c>
      <c r="D110" s="13">
        <f>G94</f>
        <v>35</v>
      </c>
      <c r="E110" s="67" t="s">
        <v>18</v>
      </c>
      <c r="F110" s="63">
        <f>G99</f>
        <v>1800</v>
      </c>
      <c r="G110" s="26" t="s">
        <v>19</v>
      </c>
      <c r="H110" s="16">
        <f>D110*F110</f>
        <v>63000</v>
      </c>
    </row>
    <row r="112" ht="14.25" customHeight="1">
      <c r="B112" s="34" t="s">
        <v>84</v>
      </c>
    </row>
    <row r="113" ht="14.25" customHeight="1">
      <c r="B113" s="34"/>
    </row>
    <row r="114" spans="2:7" ht="14.25" customHeight="1">
      <c r="B114" s="34" t="s">
        <v>85</v>
      </c>
      <c r="G114" s="34" t="s">
        <v>89</v>
      </c>
    </row>
    <row r="115" spans="3:7" ht="14.25" customHeight="1">
      <c r="C115" s="70" t="s">
        <v>86</v>
      </c>
      <c r="D115" s="69">
        <f>H95</f>
        <v>7200</v>
      </c>
      <c r="E115" s="31" t="s">
        <v>87</v>
      </c>
      <c r="F115" s="26" t="s">
        <v>19</v>
      </c>
      <c r="G115" s="67">
        <f>D115/D116</f>
        <v>4</v>
      </c>
    </row>
    <row r="116" spans="2:5" ht="14.25" customHeight="1">
      <c r="B116" s="34"/>
      <c r="C116" s="34"/>
      <c r="D116" s="63">
        <f>G99</f>
        <v>1800</v>
      </c>
      <c r="E116" t="s">
        <v>88</v>
      </c>
    </row>
    <row r="118" ht="14.25" customHeight="1">
      <c r="B118" s="34" t="s">
        <v>90</v>
      </c>
    </row>
    <row r="119" spans="3:8" ht="14.25" customHeight="1">
      <c r="C119" s="15" t="s">
        <v>340</v>
      </c>
      <c r="D119" s="42">
        <f>E95</f>
        <v>26000</v>
      </c>
      <c r="E119" s="67" t="s">
        <v>18</v>
      </c>
      <c r="F119" s="94" t="str">
        <f>F105</f>
        <v>USCRF-6 yr =</v>
      </c>
      <c r="G119" s="26"/>
      <c r="H119" s="16">
        <f>D119/C121*E107</f>
        <v>4153.2000959552615</v>
      </c>
    </row>
    <row r="120" ht="14.25" customHeight="1">
      <c r="D120" s="93" t="s">
        <v>91</v>
      </c>
    </row>
    <row r="121" spans="2:3" ht="14.25" customHeight="1">
      <c r="B121" s="27" t="s">
        <v>103</v>
      </c>
      <c r="C121" s="26">
        <f>(1+F100)^G115</f>
        <v>1.3255584662409996</v>
      </c>
    </row>
    <row r="123" spans="2:7" ht="14.25" customHeight="1">
      <c r="B123" t="s">
        <v>93</v>
      </c>
      <c r="C123" s="28">
        <f>D93</f>
        <v>165500</v>
      </c>
      <c r="D123" s="67" t="s">
        <v>18</v>
      </c>
      <c r="E123" s="72">
        <f>F96</f>
        <v>0.21</v>
      </c>
      <c r="F123" s="26" t="s">
        <v>19</v>
      </c>
      <c r="G123" s="28">
        <f>C123*E123</f>
        <v>34755</v>
      </c>
    </row>
    <row r="125" spans="3:8" ht="14.25" customHeight="1">
      <c r="C125" s="15" t="s">
        <v>93</v>
      </c>
      <c r="D125" s="28">
        <f>G123</f>
        <v>34755</v>
      </c>
      <c r="E125" s="67" t="s">
        <v>18</v>
      </c>
      <c r="F125" s="94" t="str">
        <f>B127</f>
        <v>USSFF-6 yr = </v>
      </c>
      <c r="G125" s="26"/>
      <c r="H125" s="16">
        <f>D125*E127</f>
        <v>4822.001668537474</v>
      </c>
    </row>
    <row r="127" spans="2:5" ht="14.25" customHeight="1">
      <c r="B127" s="27" t="s">
        <v>113</v>
      </c>
      <c r="C127" s="76">
        <f>F100</f>
        <v>0.073</v>
      </c>
      <c r="D127" s="26" t="s">
        <v>19</v>
      </c>
      <c r="E127">
        <f>C127/C128</f>
        <v>0.1387426749687088</v>
      </c>
    </row>
    <row r="128" ht="14.25" customHeight="1">
      <c r="C128" s="26">
        <f>(1+F100)^H102-1</f>
        <v>0.5261539033787836</v>
      </c>
    </row>
    <row r="129" ht="14.25" customHeight="1">
      <c r="B129" t="s">
        <v>95</v>
      </c>
    </row>
    <row r="130" spans="2:7" ht="14.25" customHeight="1">
      <c r="B130" s="77" t="s">
        <v>93</v>
      </c>
      <c r="C130" s="80">
        <f>G123</f>
        <v>34755</v>
      </c>
      <c r="D130" s="78" t="s">
        <v>18</v>
      </c>
      <c r="E130" s="95" t="str">
        <f>F119</f>
        <v>USCRF-6 yr =</v>
      </c>
      <c r="F130" s="26"/>
      <c r="G130" s="6">
        <f>C130/C133*E107</f>
        <v>4822.001668537475</v>
      </c>
    </row>
    <row r="131" ht="14.25" customHeight="1">
      <c r="C131" s="81" t="s">
        <v>105</v>
      </c>
    </row>
    <row r="133" spans="2:8" ht="14.25" customHeight="1">
      <c r="B133" s="27" t="s">
        <v>104</v>
      </c>
      <c r="C133" s="26">
        <f>(1+F100)^H102</f>
        <v>1.5261539033787836</v>
      </c>
      <c r="G133" s="83" t="str">
        <f>C105</f>
        <v>Ownership =</v>
      </c>
      <c r="H133" s="6">
        <f>H105</f>
        <v>35043.41270732131</v>
      </c>
    </row>
    <row r="134" spans="7:8" ht="14.25" customHeight="1">
      <c r="G134" s="27" t="str">
        <f>C110</f>
        <v>Use =</v>
      </c>
      <c r="H134" s="6">
        <f>H110</f>
        <v>63000</v>
      </c>
    </row>
    <row r="135" spans="7:8" ht="14.25" customHeight="1">
      <c r="G135" s="27" t="str">
        <f>C119</f>
        <v>Major repairs =</v>
      </c>
      <c r="H135" s="6">
        <f>H119</f>
        <v>4153.2000959552615</v>
      </c>
    </row>
    <row r="136" spans="7:11" ht="14.25" customHeight="1">
      <c r="G136" s="84" t="str">
        <f>C125</f>
        <v>Salvage =</v>
      </c>
      <c r="H136" s="14">
        <f>-H125</f>
        <v>-4822.001668537474</v>
      </c>
      <c r="K136" s="6"/>
    </row>
    <row r="137" spans="7:8" ht="14.25" customHeight="1">
      <c r="G137" s="73" t="s">
        <v>97</v>
      </c>
      <c r="H137" s="16">
        <f>SUM(H133:H136)</f>
        <v>97374.61113473911</v>
      </c>
    </row>
    <row r="138" spans="5:11" ht="14.25" customHeight="1">
      <c r="E138" s="3"/>
      <c r="K138" s="6"/>
    </row>
    <row r="139" spans="3:8" ht="14.25" customHeight="1">
      <c r="C139" s="27" t="s">
        <v>96</v>
      </c>
      <c r="D139" s="87">
        <f>H137</f>
        <v>97374.61113473911</v>
      </c>
      <c r="E139" s="26" t="s">
        <v>19</v>
      </c>
      <c r="G139" s="73" t="s">
        <v>98</v>
      </c>
      <c r="H139" s="86">
        <f>D139/D140</f>
        <v>54.09700618596617</v>
      </c>
    </row>
    <row r="140" ht="14.25" customHeight="1">
      <c r="D140" s="85">
        <f>G99</f>
        <v>1800</v>
      </c>
    </row>
    <row r="143" spans="1:10" ht="14.25" customHeight="1">
      <c r="A143" s="158">
        <v>2.7</v>
      </c>
      <c r="B143" s="159" t="s">
        <v>335</v>
      </c>
      <c r="C143" s="50"/>
      <c r="D143" s="56">
        <v>315000</v>
      </c>
      <c r="E143" s="50" t="s">
        <v>67</v>
      </c>
      <c r="F143" s="50"/>
      <c r="G143" s="51"/>
      <c r="H143" s="50"/>
      <c r="I143" s="50"/>
      <c r="J143" s="53"/>
    </row>
    <row r="144" spans="1:10" ht="14.25" customHeight="1">
      <c r="A144" s="48"/>
      <c r="B144" s="52" t="s">
        <v>69</v>
      </c>
      <c r="C144" s="50"/>
      <c r="D144" s="50"/>
      <c r="E144" s="53"/>
      <c r="F144" s="50"/>
      <c r="G144" s="55">
        <v>53.5</v>
      </c>
      <c r="H144" s="50" t="s">
        <v>68</v>
      </c>
      <c r="I144" s="34"/>
      <c r="J144" s="53"/>
    </row>
    <row r="145" spans="1:8" ht="14.25" customHeight="1">
      <c r="A145" s="48"/>
      <c r="B145" s="34" t="s">
        <v>99</v>
      </c>
      <c r="D145" s="92">
        <v>16000</v>
      </c>
      <c r="E145" s="34" t="s">
        <v>100</v>
      </c>
      <c r="G145" s="96">
        <v>3100</v>
      </c>
      <c r="H145" s="34" t="s">
        <v>101</v>
      </c>
    </row>
    <row r="146" spans="1:9" ht="14.25" customHeight="1">
      <c r="A146" s="48"/>
      <c r="B146" s="50" t="s">
        <v>70</v>
      </c>
      <c r="C146" s="50"/>
      <c r="D146" s="50"/>
      <c r="E146" s="56">
        <v>17000</v>
      </c>
      <c r="F146" s="57" t="s">
        <v>329</v>
      </c>
      <c r="H146" s="59">
        <v>6200</v>
      </c>
      <c r="I146" s="57" t="s">
        <v>326</v>
      </c>
    </row>
    <row r="147" spans="1:9" ht="14.25" customHeight="1">
      <c r="A147" s="48"/>
      <c r="B147" s="57" t="s">
        <v>328</v>
      </c>
      <c r="C147" s="53"/>
      <c r="D147" s="50"/>
      <c r="E147" s="50"/>
      <c r="F147" s="60">
        <v>0.13</v>
      </c>
      <c r="G147" s="50" t="s">
        <v>71</v>
      </c>
      <c r="H147" s="50"/>
      <c r="I147" s="53"/>
    </row>
    <row r="148" spans="1:10" ht="14.25" customHeight="1">
      <c r="A148" s="48"/>
      <c r="B148" s="57" t="s">
        <v>72</v>
      </c>
      <c r="C148" s="52"/>
      <c r="D148" s="53"/>
      <c r="E148" s="59">
        <v>9300</v>
      </c>
      <c r="F148" s="57" t="s">
        <v>73</v>
      </c>
      <c r="G148" s="54"/>
      <c r="H148" s="50"/>
      <c r="I148" s="50"/>
      <c r="J148" s="53"/>
    </row>
    <row r="149" spans="1:10" ht="14.25" customHeight="1">
      <c r="A149" s="48"/>
      <c r="B149" s="50" t="s">
        <v>74</v>
      </c>
      <c r="C149" s="50"/>
      <c r="D149" s="50"/>
      <c r="E149" s="58"/>
      <c r="F149" s="50"/>
      <c r="G149" s="54"/>
      <c r="H149" s="50"/>
      <c r="I149" s="50"/>
      <c r="J149" s="53"/>
    </row>
    <row r="150" spans="2:10" ht="14.25" customHeight="1">
      <c r="B150" s="50" t="s">
        <v>75</v>
      </c>
      <c r="C150" s="50"/>
      <c r="D150" s="50"/>
      <c r="E150" s="50"/>
      <c r="F150" s="50"/>
      <c r="G150" s="61">
        <v>3100</v>
      </c>
      <c r="H150" s="50" t="s">
        <v>76</v>
      </c>
      <c r="I150" s="50"/>
      <c r="J150" s="53"/>
    </row>
    <row r="151" spans="2:10" ht="14.25" customHeight="1">
      <c r="B151" s="34" t="s">
        <v>77</v>
      </c>
      <c r="C151" s="34"/>
      <c r="D151" s="34"/>
      <c r="E151" s="34"/>
      <c r="F151" s="62">
        <v>0.0725</v>
      </c>
      <c r="G151" s="34" t="s">
        <v>78</v>
      </c>
      <c r="H151" s="34"/>
      <c r="I151" s="34"/>
      <c r="J151" s="67"/>
    </row>
    <row r="152" spans="2:9" ht="14.25" customHeight="1">
      <c r="B152" s="34"/>
      <c r="C152" s="34"/>
      <c r="D152" s="34"/>
      <c r="E152" s="34"/>
      <c r="F152" s="34"/>
      <c r="G152" s="34"/>
      <c r="H152" s="34"/>
      <c r="I152" s="34"/>
    </row>
    <row r="153" spans="2:9" ht="14.25" customHeight="1">
      <c r="B153" s="34" t="s">
        <v>79</v>
      </c>
      <c r="C153" s="34"/>
      <c r="D153" s="34"/>
      <c r="E153" s="65">
        <f>E148</f>
        <v>9300</v>
      </c>
      <c r="F153" s="66" t="s">
        <v>80</v>
      </c>
      <c r="G153" s="67" t="s">
        <v>19</v>
      </c>
      <c r="H153" s="34">
        <f>E153/E154</f>
        <v>3</v>
      </c>
      <c r="I153" s="34" t="s">
        <v>82</v>
      </c>
    </row>
    <row r="154" spans="2:9" ht="14.25" customHeight="1">
      <c r="B154" s="34"/>
      <c r="C154" s="34"/>
      <c r="D154" s="34"/>
      <c r="E154" s="64">
        <f>G150</f>
        <v>3100</v>
      </c>
      <c r="F154" s="34" t="s">
        <v>81</v>
      </c>
      <c r="G154" s="34"/>
      <c r="H154" s="34"/>
      <c r="I154" s="34"/>
    </row>
    <row r="155" spans="2:9" ht="14.25" customHeight="1">
      <c r="B155" s="34"/>
      <c r="C155" s="34"/>
      <c r="D155" s="164" t="s">
        <v>123</v>
      </c>
      <c r="E155" s="34"/>
      <c r="F155" s="34"/>
      <c r="G155" s="34"/>
      <c r="H155" s="34"/>
      <c r="I155" s="34"/>
    </row>
    <row r="156" spans="3:9" ht="14.25" customHeight="1">
      <c r="C156" s="15" t="s">
        <v>338</v>
      </c>
      <c r="D156" s="12">
        <f>D143-D145</f>
        <v>299000</v>
      </c>
      <c r="E156" s="67" t="s">
        <v>18</v>
      </c>
      <c r="F156" s="94" t="str">
        <f>B158</f>
        <v>USCRF-3 yr =</v>
      </c>
      <c r="G156" s="67"/>
      <c r="H156" s="16">
        <f>D156*E158</f>
        <v>114455.2271396185</v>
      </c>
      <c r="I156" s="34"/>
    </row>
    <row r="157" spans="2:9" ht="14.25" customHeight="1">
      <c r="B157" s="34"/>
      <c r="C157" s="34"/>
      <c r="E157" s="67"/>
      <c r="F157" s="67"/>
      <c r="G157" s="67"/>
      <c r="H157" s="16"/>
      <c r="I157" s="34"/>
    </row>
    <row r="158" spans="2:5" ht="14.25" customHeight="1">
      <c r="B158" s="27" t="s">
        <v>112</v>
      </c>
      <c r="C158" s="31">
        <f>(F151*(1+F151)^H153)</f>
        <v>0.08943961253906249</v>
      </c>
      <c r="D158" s="26" t="s">
        <v>19</v>
      </c>
      <c r="E158">
        <f>C158/C159</f>
        <v>0.38279340180474414</v>
      </c>
    </row>
    <row r="159" ht="14.25" customHeight="1">
      <c r="C159">
        <f>(1+F151)^H153-1</f>
        <v>0.2336498281249999</v>
      </c>
    </row>
    <row r="161" spans="3:8" ht="14.25" customHeight="1">
      <c r="C161" s="30" t="s">
        <v>339</v>
      </c>
      <c r="D161" s="13">
        <f>G144</f>
        <v>53.5</v>
      </c>
      <c r="E161" s="67" t="s">
        <v>18</v>
      </c>
      <c r="F161" s="63">
        <f>G150</f>
        <v>3100</v>
      </c>
      <c r="G161" s="26" t="s">
        <v>19</v>
      </c>
      <c r="H161" s="16">
        <f>D161*F161</f>
        <v>165850</v>
      </c>
    </row>
    <row r="163" ht="14.25" customHeight="1">
      <c r="B163" s="34" t="s">
        <v>106</v>
      </c>
    </row>
    <row r="164" spans="2:7" ht="14.25" customHeight="1">
      <c r="B164" s="34"/>
      <c r="C164" t="s">
        <v>107</v>
      </c>
      <c r="D164" s="97">
        <f>E148</f>
        <v>9300</v>
      </c>
      <c r="E164" s="26" t="s">
        <v>19</v>
      </c>
      <c r="F164" s="75">
        <f>D164/D165</f>
        <v>3</v>
      </c>
      <c r="G164" s="34" t="s">
        <v>108</v>
      </c>
    </row>
    <row r="165" spans="2:7" ht="14.25" customHeight="1">
      <c r="B165" s="34"/>
      <c r="D165" s="85">
        <f>G145</f>
        <v>3100</v>
      </c>
      <c r="G165" s="34" t="s">
        <v>109</v>
      </c>
    </row>
    <row r="166" spans="2:7" ht="14.25" customHeight="1">
      <c r="B166" s="27" t="s">
        <v>124</v>
      </c>
      <c r="C166">
        <v>0</v>
      </c>
      <c r="D166" s="85"/>
      <c r="G166" s="34"/>
    </row>
    <row r="167" spans="2:8" ht="14.25" customHeight="1">
      <c r="B167" s="34"/>
      <c r="C167" s="136" t="s">
        <v>341</v>
      </c>
      <c r="D167" s="85">
        <f>D145</f>
        <v>16000</v>
      </c>
      <c r="E167" s="67" t="s">
        <v>18</v>
      </c>
      <c r="F167" t="str">
        <f>B158</f>
        <v>USCRF-3 yr =</v>
      </c>
      <c r="H167" s="6">
        <f>D167*E158</f>
        <v>6124.694428875906</v>
      </c>
    </row>
    <row r="168" spans="2:7" ht="14.25" customHeight="1">
      <c r="B168" s="27" t="s">
        <v>124</v>
      </c>
      <c r="C168">
        <v>1</v>
      </c>
      <c r="D168" s="98" t="s">
        <v>125</v>
      </c>
      <c r="G168" s="34"/>
    </row>
    <row r="169" spans="3:8" ht="14.25" customHeight="1">
      <c r="C169" s="136" t="s">
        <v>342</v>
      </c>
      <c r="D169" s="42">
        <f>D145</f>
        <v>16000</v>
      </c>
      <c r="E169" s="67" t="s">
        <v>18</v>
      </c>
      <c r="F169" t="str">
        <f>B158</f>
        <v>USCRF-3 yr =</v>
      </c>
      <c r="H169" s="6">
        <f>D169/C171*E158</f>
        <v>5710.670796154692</v>
      </c>
    </row>
    <row r="170" ht="14.25" customHeight="1">
      <c r="D170" s="26" t="s">
        <v>114</v>
      </c>
    </row>
    <row r="171" spans="2:3" ht="14.25" customHeight="1">
      <c r="B171" s="27" t="s">
        <v>110</v>
      </c>
      <c r="C171" s="26">
        <f>(1+F151)^C168</f>
        <v>1.0725</v>
      </c>
    </row>
    <row r="172" spans="2:4" ht="14.25" customHeight="1">
      <c r="B172" s="27" t="s">
        <v>124</v>
      </c>
      <c r="C172">
        <v>2</v>
      </c>
      <c r="D172" t="s">
        <v>126</v>
      </c>
    </row>
    <row r="173" spans="3:8" ht="14.25" customHeight="1">
      <c r="C173" s="136" t="s">
        <v>343</v>
      </c>
      <c r="D173" s="42">
        <f>D145</f>
        <v>16000</v>
      </c>
      <c r="E173" s="67" t="s">
        <v>18</v>
      </c>
      <c r="F173" t="str">
        <f>F169</f>
        <v>USCRF-3 yr =</v>
      </c>
      <c r="H173" s="14">
        <f>D173/C175*E158</f>
        <v>5324.634774969409</v>
      </c>
    </row>
    <row r="174" spans="4:8" ht="14.25" customHeight="1">
      <c r="D174" s="26" t="s">
        <v>115</v>
      </c>
      <c r="G174" s="73" t="s">
        <v>122</v>
      </c>
      <c r="H174" s="16">
        <f>SUM(H167:H173)</f>
        <v>17160.000000000007</v>
      </c>
    </row>
    <row r="175" spans="2:3" ht="14.25" customHeight="1">
      <c r="B175" s="27" t="s">
        <v>111</v>
      </c>
      <c r="C175" s="26">
        <f>(1+F151)^C172</f>
        <v>1.15025625</v>
      </c>
    </row>
    <row r="177" ht="14.25" customHeight="1">
      <c r="B177" s="34" t="s">
        <v>85</v>
      </c>
    </row>
    <row r="178" spans="3:8" ht="14.25" customHeight="1">
      <c r="C178" s="70" t="s">
        <v>86</v>
      </c>
      <c r="D178" s="69">
        <f>H146</f>
        <v>6200</v>
      </c>
      <c r="E178" s="31" t="s">
        <v>87</v>
      </c>
      <c r="F178" s="26" t="s">
        <v>19</v>
      </c>
      <c r="G178" s="70">
        <f>D178/D179</f>
        <v>2</v>
      </c>
      <c r="H178" s="82" t="s">
        <v>89</v>
      </c>
    </row>
    <row r="179" spans="2:5" ht="14.25" customHeight="1">
      <c r="B179" s="34"/>
      <c r="C179" s="34"/>
      <c r="D179" s="63">
        <f>G150</f>
        <v>3100</v>
      </c>
      <c r="E179" t="s">
        <v>88</v>
      </c>
    </row>
    <row r="181" spans="5:7" ht="14.25" customHeight="1">
      <c r="E181" s="70" t="s">
        <v>116</v>
      </c>
      <c r="F181" s="26">
        <f>G178</f>
        <v>2</v>
      </c>
      <c r="G181" t="s">
        <v>117</v>
      </c>
    </row>
    <row r="182" spans="3:8" ht="14.25" customHeight="1">
      <c r="C182" s="73" t="s">
        <v>340</v>
      </c>
      <c r="D182" s="42">
        <f>E146</f>
        <v>17000</v>
      </c>
      <c r="E182" s="67" t="s">
        <v>18</v>
      </c>
      <c r="F182" s="94" t="str">
        <f>F156</f>
        <v>USCRF-3 yr =</v>
      </c>
      <c r="G182" s="26"/>
      <c r="H182" s="16">
        <f>D182/C184*E158</f>
        <v>5657.424448404997</v>
      </c>
    </row>
    <row r="183" ht="14.25" customHeight="1">
      <c r="D183" s="81" t="s">
        <v>91</v>
      </c>
    </row>
    <row r="184" spans="2:3" ht="14.25" customHeight="1">
      <c r="B184" s="27" t="s">
        <v>119</v>
      </c>
      <c r="C184" s="26">
        <f>(1+F151)^G178</f>
        <v>1.15025625</v>
      </c>
    </row>
    <row r="187" spans="2:7" ht="14.25" customHeight="1">
      <c r="B187" t="s">
        <v>93</v>
      </c>
      <c r="C187" s="28">
        <f>D143</f>
        <v>315000</v>
      </c>
      <c r="D187" s="67" t="s">
        <v>18</v>
      </c>
      <c r="E187" s="72">
        <f>F147</f>
        <v>0.13</v>
      </c>
      <c r="F187" s="26" t="s">
        <v>19</v>
      </c>
      <c r="G187" s="28">
        <f>C187*E187</f>
        <v>40950</v>
      </c>
    </row>
    <row r="189" spans="3:8" ht="14.25" customHeight="1">
      <c r="C189" s="74" t="s">
        <v>93</v>
      </c>
      <c r="D189" s="28">
        <f>G187</f>
        <v>40950</v>
      </c>
      <c r="E189" s="67" t="s">
        <v>18</v>
      </c>
      <c r="F189" s="94" t="str">
        <f>B191</f>
        <v>USSFF-3yr = </v>
      </c>
      <c r="G189" s="26"/>
      <c r="H189" s="16">
        <f>D189*E191</f>
        <v>12706.514803904272</v>
      </c>
    </row>
    <row r="191" spans="2:5" ht="14.25" customHeight="1">
      <c r="B191" s="27" t="s">
        <v>120</v>
      </c>
      <c r="C191" s="76">
        <f>F151</f>
        <v>0.0725</v>
      </c>
      <c r="D191" s="26" t="s">
        <v>19</v>
      </c>
      <c r="E191">
        <f>C191/C192</f>
        <v>0.31029340180474413</v>
      </c>
    </row>
    <row r="192" ht="14.25" customHeight="1">
      <c r="C192" s="26">
        <f>(1+F151)^H153-1</f>
        <v>0.2336498281249999</v>
      </c>
    </row>
    <row r="194" ht="14.25" customHeight="1">
      <c r="B194" t="s">
        <v>95</v>
      </c>
    </row>
    <row r="195" spans="2:7" ht="14.25" customHeight="1">
      <c r="B195" s="77" t="s">
        <v>93</v>
      </c>
      <c r="C195" s="80">
        <f>G187</f>
        <v>40950</v>
      </c>
      <c r="D195" s="78" t="s">
        <v>18</v>
      </c>
      <c r="E195" s="95" t="str">
        <f>F182</f>
        <v>USCRF-3 yr =</v>
      </c>
      <c r="F195" s="26"/>
      <c r="G195" s="6">
        <f>C195/C198*E158</f>
        <v>12706.514803904274</v>
      </c>
    </row>
    <row r="196" ht="14.25" customHeight="1">
      <c r="C196" s="93" t="s">
        <v>121</v>
      </c>
    </row>
    <row r="198" spans="2:3" ht="14.25" customHeight="1">
      <c r="B198" s="27" t="s">
        <v>118</v>
      </c>
      <c r="C198" s="26">
        <f>(1+F151)^H153</f>
        <v>1.233649828125</v>
      </c>
    </row>
    <row r="201" spans="7:8" ht="14.25" customHeight="1">
      <c r="G201" s="83" t="str">
        <f>C156</f>
        <v>Ownership =</v>
      </c>
      <c r="H201" s="6">
        <f>H156</f>
        <v>114455.2271396185</v>
      </c>
    </row>
    <row r="202" spans="7:8" ht="14.25" customHeight="1">
      <c r="G202" s="27" t="str">
        <f>G174</f>
        <v>Atires =</v>
      </c>
      <c r="H202" s="6">
        <f>H174</f>
        <v>17160.000000000007</v>
      </c>
    </row>
    <row r="203" spans="7:8" ht="14.25" customHeight="1">
      <c r="G203" s="27" t="str">
        <f>C161</f>
        <v>Use =</v>
      </c>
      <c r="H203" s="6">
        <f>H161</f>
        <v>165850</v>
      </c>
    </row>
    <row r="204" spans="7:8" ht="14.25" customHeight="1">
      <c r="G204" s="27" t="str">
        <f>C182</f>
        <v>Major repairs =</v>
      </c>
      <c r="H204" s="6">
        <f>H182</f>
        <v>5657.424448404997</v>
      </c>
    </row>
    <row r="205" spans="7:8" ht="14.25" customHeight="1">
      <c r="G205" s="84" t="str">
        <f>C189</f>
        <v>Salvage =</v>
      </c>
      <c r="H205" s="14">
        <f>-H189</f>
        <v>-12706.514803904272</v>
      </c>
    </row>
    <row r="206" spans="5:8" ht="14.25" customHeight="1">
      <c r="E206" s="3"/>
      <c r="G206" s="73" t="s">
        <v>344</v>
      </c>
      <c r="H206" s="16">
        <f>SUM(H201:H205)</f>
        <v>290416.1367841192</v>
      </c>
    </row>
    <row r="208" spans="3:8" ht="14.25" customHeight="1">
      <c r="C208" s="27" t="s">
        <v>96</v>
      </c>
      <c r="D208" s="87">
        <f>H206</f>
        <v>290416.1367841192</v>
      </c>
      <c r="E208" s="26" t="s">
        <v>19</v>
      </c>
      <c r="G208" s="73" t="s">
        <v>98</v>
      </c>
      <c r="H208" s="86">
        <f>D208/D209</f>
        <v>93.6826247690707</v>
      </c>
    </row>
    <row r="209" ht="14.25" customHeight="1">
      <c r="D209" s="85">
        <f>G150</f>
        <v>3100</v>
      </c>
    </row>
    <row r="213" ht="14.25" customHeight="1">
      <c r="D213" s="85"/>
    </row>
    <row r="215" spans="1:10" ht="14.25" customHeight="1">
      <c r="A215" s="1">
        <v>2.8</v>
      </c>
      <c r="B215" s="36" t="s">
        <v>131</v>
      </c>
      <c r="C215" s="36"/>
      <c r="D215" s="36"/>
      <c r="E215" s="36"/>
      <c r="F215" s="36"/>
      <c r="G215" s="101">
        <v>18500</v>
      </c>
      <c r="H215" s="36"/>
      <c r="I215" s="36"/>
      <c r="J215" s="78"/>
    </row>
    <row r="216" spans="2:10" ht="14.25" customHeight="1">
      <c r="B216" s="36" t="s">
        <v>128</v>
      </c>
      <c r="C216" s="36"/>
      <c r="D216" s="102">
        <v>4</v>
      </c>
      <c r="E216" s="36" t="s">
        <v>132</v>
      </c>
      <c r="F216" s="103">
        <v>0.0375</v>
      </c>
      <c r="G216" s="36" t="s">
        <v>135</v>
      </c>
      <c r="H216" s="36"/>
      <c r="I216" s="36"/>
      <c r="J216" s="78"/>
    </row>
    <row r="217" spans="2:10" ht="14.25" customHeight="1">
      <c r="B217" s="36" t="s">
        <v>133</v>
      </c>
      <c r="C217" s="36"/>
      <c r="D217" s="102">
        <v>6</v>
      </c>
      <c r="E217" s="36" t="s">
        <v>132</v>
      </c>
      <c r="F217" s="103">
        <v>0.035</v>
      </c>
      <c r="G217" s="36" t="s">
        <v>135</v>
      </c>
      <c r="H217" s="36"/>
      <c r="I217" s="36"/>
      <c r="J217" s="78"/>
    </row>
    <row r="218" spans="2:10" ht="14.25" customHeight="1">
      <c r="B218" s="36"/>
      <c r="C218" s="36"/>
      <c r="D218" s="36"/>
      <c r="E218" s="36"/>
      <c r="F218" s="36"/>
      <c r="G218" s="36"/>
      <c r="H218" s="36"/>
      <c r="I218" s="36"/>
      <c r="J218" s="78"/>
    </row>
    <row r="219" spans="2:10" ht="14.25" customHeight="1">
      <c r="B219" s="30" t="s">
        <v>137</v>
      </c>
      <c r="C219" s="36"/>
      <c r="D219" s="36"/>
      <c r="E219" s="36"/>
      <c r="F219" s="36"/>
      <c r="G219" s="36"/>
      <c r="H219" s="36"/>
      <c r="I219" s="36"/>
      <c r="J219" s="78"/>
    </row>
    <row r="220" spans="2:10" ht="14.25" customHeight="1">
      <c r="B220" s="36" t="s">
        <v>136</v>
      </c>
      <c r="C220" s="36"/>
      <c r="D220" s="36"/>
      <c r="E220" s="36"/>
      <c r="F220" s="36"/>
      <c r="G220" s="36"/>
      <c r="H220" s="36"/>
      <c r="I220" s="36"/>
      <c r="J220" s="78"/>
    </row>
    <row r="221" ht="14.25" customHeight="1">
      <c r="B221" s="34" t="s">
        <v>45</v>
      </c>
    </row>
    <row r="222" spans="2:6" ht="14.25" customHeight="1">
      <c r="B222" s="83" t="s">
        <v>345</v>
      </c>
      <c r="C222" s="28">
        <f>G215</f>
        <v>18500</v>
      </c>
      <c r="D222" s="67" t="s">
        <v>18</v>
      </c>
      <c r="E222" s="26" t="s">
        <v>134</v>
      </c>
      <c r="F222" s="16">
        <f>C222*E223</f>
        <v>21435.032678222666</v>
      </c>
    </row>
    <row r="223" ht="14.25" customHeight="1">
      <c r="E223">
        <f>(1+F216)^D216</f>
        <v>1.158650415039063</v>
      </c>
    </row>
    <row r="225" spans="2:6" ht="14.25" customHeight="1">
      <c r="B225" s="83" t="s">
        <v>346</v>
      </c>
      <c r="C225" s="28">
        <f>G215</f>
        <v>18500</v>
      </c>
      <c r="D225" s="67" t="s">
        <v>18</v>
      </c>
      <c r="E225" s="26" t="s">
        <v>134</v>
      </c>
      <c r="F225" s="16">
        <f>C225*E226</f>
        <v>22741.22353737353</v>
      </c>
    </row>
    <row r="226" ht="14.25" customHeight="1">
      <c r="E226">
        <f>(1+F217)^D217</f>
        <v>1.2292553263445152</v>
      </c>
    </row>
    <row r="228" ht="14.25" customHeight="1">
      <c r="B228" s="30" t="s">
        <v>138</v>
      </c>
    </row>
    <row r="229" ht="14.25" customHeight="1">
      <c r="B229" s="36" t="s">
        <v>139</v>
      </c>
    </row>
    <row r="230" spans="2:8" ht="14.25" customHeight="1">
      <c r="B230" s="83" t="s">
        <v>345</v>
      </c>
      <c r="C230" s="28">
        <f>G215</f>
        <v>18500</v>
      </c>
      <c r="D230" s="67" t="s">
        <v>18</v>
      </c>
      <c r="E230" s="26" t="s">
        <v>83</v>
      </c>
      <c r="F230" s="6">
        <f>C230*E231</f>
        <v>415.64607690461503</v>
      </c>
      <c r="H230" s="16">
        <f>C231*F230</f>
        <v>19951.01169142152</v>
      </c>
    </row>
    <row r="231" spans="2:5" ht="14.25" customHeight="1">
      <c r="B231" s="27" t="s">
        <v>140</v>
      </c>
      <c r="C231" s="35">
        <f>12*D216</f>
        <v>48</v>
      </c>
      <c r="D231" s="104">
        <f>C232*(1+C232)^C231</f>
        <v>0.0036298829236842637</v>
      </c>
      <c r="E231">
        <f>D231/D232</f>
        <v>0.02246735550835757</v>
      </c>
    </row>
    <row r="232" spans="2:4" ht="14.25" customHeight="1">
      <c r="B232" s="27" t="s">
        <v>141</v>
      </c>
      <c r="C232" s="35">
        <f>F216/12</f>
        <v>0.0031249999999999997</v>
      </c>
      <c r="D232">
        <f>((1+C232)^C231)-1</f>
        <v>0.1615625355789645</v>
      </c>
    </row>
    <row r="234" spans="2:8" ht="14.25" customHeight="1">
      <c r="B234" s="83" t="s">
        <v>347</v>
      </c>
      <c r="C234" s="28">
        <f>G215</f>
        <v>18500</v>
      </c>
      <c r="D234" s="67" t="s">
        <v>18</v>
      </c>
      <c r="E234" s="26" t="s">
        <v>83</v>
      </c>
      <c r="F234" s="6">
        <f>C234*E235</f>
        <v>285.2403460265919</v>
      </c>
      <c r="H234" s="16">
        <f>F234*C235</f>
        <v>20537.304913914617</v>
      </c>
    </row>
    <row r="235" spans="2:5" ht="14.25" customHeight="1">
      <c r="B235" s="27" t="s">
        <v>140</v>
      </c>
      <c r="C235" s="35">
        <f>12*D217</f>
        <v>72</v>
      </c>
      <c r="D235" s="31">
        <f>C236*(1+C236)^C235</f>
        <v>0.003597128023732717</v>
      </c>
      <c r="E235">
        <f>D235/D236</f>
        <v>0.015418397082518482</v>
      </c>
    </row>
    <row r="236" spans="2:4" ht="14.25" customHeight="1">
      <c r="B236" s="27" t="s">
        <v>141</v>
      </c>
      <c r="C236" s="35">
        <f>F217/12</f>
        <v>0.002916666666666667</v>
      </c>
      <c r="D236">
        <f>((1+C236)^C235)-1</f>
        <v>0.2333010367083601</v>
      </c>
    </row>
    <row r="239" spans="1:8" ht="14.25" customHeight="1">
      <c r="A239" s="160">
        <v>2.9</v>
      </c>
      <c r="B239" s="34" t="s">
        <v>145</v>
      </c>
      <c r="H239" s="92">
        <v>65000</v>
      </c>
    </row>
    <row r="240" spans="3:5" ht="14.25" customHeight="1">
      <c r="C240" s="70" t="s">
        <v>147</v>
      </c>
      <c r="D240" s="107">
        <v>60000</v>
      </c>
      <c r="E240" s="34" t="s">
        <v>146</v>
      </c>
    </row>
    <row r="241" spans="7:8" ht="14.25" customHeight="1">
      <c r="G241" s="70" t="s">
        <v>148</v>
      </c>
      <c r="H241" s="92">
        <v>330000</v>
      </c>
    </row>
    <row r="242" ht="14.25" customHeight="1">
      <c r="B242" s="34" t="s">
        <v>325</v>
      </c>
    </row>
    <row r="243" ht="14.25" customHeight="1">
      <c r="B243" s="34" t="s">
        <v>152</v>
      </c>
    </row>
    <row r="244" ht="14.25" customHeight="1">
      <c r="C244" s="34" t="s">
        <v>149</v>
      </c>
    </row>
    <row r="245" spans="7:8" ht="14.25" customHeight="1">
      <c r="G245" s="70" t="s">
        <v>150</v>
      </c>
      <c r="H245" s="108">
        <f>H241</f>
        <v>330000</v>
      </c>
    </row>
    <row r="246" spans="7:8" ht="14.25" customHeight="1">
      <c r="G246" s="70"/>
      <c r="H246" s="108"/>
    </row>
    <row r="248" spans="1:8" ht="14.25" customHeight="1">
      <c r="A248" s="105">
        <v>2.1</v>
      </c>
      <c r="B248" s="34" t="s">
        <v>145</v>
      </c>
      <c r="C248" s="34"/>
      <c r="D248" s="34"/>
      <c r="E248" s="34"/>
      <c r="F248" s="34"/>
      <c r="G248" s="34"/>
      <c r="H248" s="92">
        <v>55000</v>
      </c>
    </row>
    <row r="249" spans="2:8" ht="14.25" customHeight="1">
      <c r="B249" s="34"/>
      <c r="C249" s="34"/>
      <c r="D249" s="34"/>
      <c r="E249" s="34"/>
      <c r="F249" s="34"/>
      <c r="G249" s="70" t="s">
        <v>151</v>
      </c>
      <c r="H249" s="92">
        <v>320000</v>
      </c>
    </row>
    <row r="250" spans="2:8" ht="14.25" customHeight="1">
      <c r="B250" s="34"/>
      <c r="C250" s="70" t="s">
        <v>154</v>
      </c>
      <c r="D250" s="92">
        <v>225000</v>
      </c>
      <c r="E250" s="34" t="s">
        <v>153</v>
      </c>
      <c r="F250" s="34"/>
      <c r="G250" s="34"/>
      <c r="H250" s="34"/>
    </row>
    <row r="251" spans="2:8" ht="14.25" customHeight="1">
      <c r="B251" s="34" t="s">
        <v>152</v>
      </c>
      <c r="C251" s="34"/>
      <c r="D251" s="34"/>
      <c r="E251" s="34"/>
      <c r="F251" s="34"/>
      <c r="G251" s="34"/>
      <c r="H251" s="34"/>
    </row>
    <row r="253" spans="3:8" ht="14.25" customHeight="1">
      <c r="C253" s="34" t="s">
        <v>155</v>
      </c>
      <c r="H253" s="28">
        <f>D250</f>
        <v>225000</v>
      </c>
    </row>
    <row r="254" spans="3:8" ht="14.25" customHeight="1">
      <c r="C254" s="66" t="s">
        <v>156</v>
      </c>
      <c r="D254" s="31"/>
      <c r="E254" s="31"/>
      <c r="F254" s="31"/>
      <c r="G254" s="31"/>
      <c r="H254" s="29">
        <f>H248</f>
        <v>55000</v>
      </c>
    </row>
    <row r="255" spans="3:8" ht="14.25" customHeight="1">
      <c r="C255" s="34" t="s">
        <v>157</v>
      </c>
      <c r="H255" s="108">
        <f>SUM(H253:H254)</f>
        <v>280000</v>
      </c>
    </row>
    <row r="257" spans="1:2" ht="14.25" customHeight="1">
      <c r="A257" s="105">
        <v>2.11</v>
      </c>
      <c r="B257" s="109" t="s">
        <v>158</v>
      </c>
    </row>
    <row r="258" spans="5:6" ht="14.25" customHeight="1">
      <c r="E258" s="110" t="s">
        <v>159</v>
      </c>
      <c r="F258" s="101">
        <v>326000</v>
      </c>
    </row>
    <row r="259" spans="5:6" ht="14.25" customHeight="1">
      <c r="E259" s="110" t="s">
        <v>160</v>
      </c>
      <c r="F259" s="101">
        <v>26000</v>
      </c>
    </row>
    <row r="260" spans="6:8" ht="14.25" customHeight="1">
      <c r="F260" s="70" t="s">
        <v>163</v>
      </c>
      <c r="G260" s="111">
        <v>6</v>
      </c>
      <c r="H260" s="34" t="s">
        <v>162</v>
      </c>
    </row>
    <row r="261" spans="4:9" ht="14.25" customHeight="1">
      <c r="D261" s="34"/>
      <c r="E261" s="70" t="s">
        <v>161</v>
      </c>
      <c r="F261" s="39">
        <v>75000</v>
      </c>
      <c r="H261" s="96">
        <v>2800</v>
      </c>
      <c r="I261" s="34" t="s">
        <v>88</v>
      </c>
    </row>
    <row r="262" ht="14.25" customHeight="1">
      <c r="B262" s="109" t="s">
        <v>167</v>
      </c>
    </row>
    <row r="263" spans="5:6" ht="14.25" customHeight="1">
      <c r="E263" s="70" t="s">
        <v>166</v>
      </c>
      <c r="F263" s="40">
        <v>0.0631</v>
      </c>
    </row>
    <row r="264" ht="14.25" customHeight="1">
      <c r="B264" s="34" t="s">
        <v>164</v>
      </c>
    </row>
    <row r="265" ht="14.25" customHeight="1">
      <c r="B265" s="34" t="s">
        <v>165</v>
      </c>
    </row>
    <row r="267" ht="14.25" customHeight="1">
      <c r="B267" s="3" t="s">
        <v>168</v>
      </c>
    </row>
    <row r="268" spans="2:4" ht="14.25" customHeight="1">
      <c r="B268" t="s">
        <v>169</v>
      </c>
      <c r="D268" s="28">
        <f>F258</f>
        <v>326000</v>
      </c>
    </row>
    <row r="269" spans="2:4" ht="14.25" customHeight="1">
      <c r="B269" s="31" t="s">
        <v>170</v>
      </c>
      <c r="C269" s="31"/>
      <c r="D269" s="29">
        <f>F259</f>
        <v>26000</v>
      </c>
    </row>
    <row r="270" ht="14.25" customHeight="1">
      <c r="D270" s="28">
        <f>D268-D269</f>
        <v>300000</v>
      </c>
    </row>
    <row r="271" ht="14.25" customHeight="1">
      <c r="B271" s="3" t="s">
        <v>173</v>
      </c>
    </row>
    <row r="272" spans="2:6" ht="14.25" customHeight="1">
      <c r="B272" t="s">
        <v>172</v>
      </c>
      <c r="D272" s="31">
        <f>F263*(1+F263)^G260</f>
        <v>0.09109070601080937</v>
      </c>
      <c r="E272" s="26" t="s">
        <v>19</v>
      </c>
      <c r="F272">
        <f>D272/D273</f>
        <v>0.2053475731216781</v>
      </c>
    </row>
    <row r="273" ht="14.25" customHeight="1">
      <c r="D273">
        <f>((1+F263)^G260)-1</f>
        <v>0.4435928052426208</v>
      </c>
    </row>
    <row r="275" spans="2:8" ht="14.25" customHeight="1">
      <c r="B275" s="27" t="s">
        <v>174</v>
      </c>
      <c r="C275" s="28">
        <f>D270</f>
        <v>300000</v>
      </c>
      <c r="D275" s="67" t="s">
        <v>18</v>
      </c>
      <c r="E275">
        <f>F272</f>
        <v>0.2053475731216781</v>
      </c>
      <c r="F275" s="26" t="s">
        <v>19</v>
      </c>
      <c r="H275" s="6">
        <f>C275*E275</f>
        <v>61604.27193650343</v>
      </c>
    </row>
    <row r="276" spans="2:8" ht="14.25" customHeight="1">
      <c r="B276" s="3" t="s">
        <v>92</v>
      </c>
      <c r="H276" s="28"/>
    </row>
    <row r="277" spans="2:6" ht="14.25" customHeight="1">
      <c r="B277" t="s">
        <v>171</v>
      </c>
      <c r="D277" s="112">
        <f>F263</f>
        <v>0.0631</v>
      </c>
      <c r="E277" s="26" t="s">
        <v>19</v>
      </c>
      <c r="F277">
        <f>D277/D278</f>
        <v>0.14224757312167807</v>
      </c>
    </row>
    <row r="278" ht="14.25" customHeight="1">
      <c r="D278">
        <f>((1+F263)^G260)-1</f>
        <v>0.4435928052426208</v>
      </c>
    </row>
    <row r="279" spans="2:8" ht="14.25" customHeight="1">
      <c r="B279" s="136" t="s">
        <v>93</v>
      </c>
      <c r="C279" s="28">
        <f>F261</f>
        <v>75000</v>
      </c>
      <c r="D279" s="67" t="s">
        <v>18</v>
      </c>
      <c r="E279">
        <f>F277</f>
        <v>0.14224757312167807</v>
      </c>
      <c r="F279" s="26" t="s">
        <v>19</v>
      </c>
      <c r="H279" s="6">
        <f>C279*E279</f>
        <v>10668.567984125855</v>
      </c>
    </row>
    <row r="281" spans="2:8" ht="14.25" customHeight="1">
      <c r="B281" t="s">
        <v>175</v>
      </c>
      <c r="D281" s="14">
        <f>H275</f>
        <v>61604.27193650343</v>
      </c>
      <c r="E281" s="71" t="s">
        <v>130</v>
      </c>
      <c r="F281" s="14">
        <f>H279</f>
        <v>10668.567984125855</v>
      </c>
      <c r="G281" s="26" t="s">
        <v>19</v>
      </c>
      <c r="H281" s="114">
        <f>(D281-F281)/E282</f>
        <v>18.19132284013485</v>
      </c>
    </row>
    <row r="282" spans="5:6" ht="14.25" customHeight="1">
      <c r="E282" s="85">
        <f>H261</f>
        <v>2800</v>
      </c>
      <c r="F282" t="str">
        <f>I261</f>
        <v>hr/yr</v>
      </c>
    </row>
    <row r="283" ht="14.25" customHeight="1">
      <c r="E283" s="85"/>
    </row>
    <row r="285" spans="1:2" ht="14.25" customHeight="1">
      <c r="A285" s="105">
        <v>2.12</v>
      </c>
      <c r="B285" s="36" t="s">
        <v>336</v>
      </c>
    </row>
    <row r="286" ht="14.25" customHeight="1">
      <c r="B286" s="34" t="s">
        <v>177</v>
      </c>
    </row>
    <row r="289" spans="2:7" ht="14.25" customHeight="1">
      <c r="B289" s="136" t="s">
        <v>348</v>
      </c>
      <c r="D289" s="28">
        <f>D270</f>
        <v>300000</v>
      </c>
      <c r="E289" s="26"/>
      <c r="G289" s="28">
        <f>F261</f>
        <v>75000</v>
      </c>
    </row>
    <row r="290" spans="3:8" ht="14.25" customHeight="1">
      <c r="C290" s="115" t="s">
        <v>18</v>
      </c>
      <c r="D290" s="97">
        <f>G260+1</f>
        <v>7</v>
      </c>
      <c r="E290" s="85" t="s">
        <v>179</v>
      </c>
      <c r="F290" s="84" t="s">
        <v>18</v>
      </c>
      <c r="G290" s="97">
        <f>G260-1</f>
        <v>5</v>
      </c>
      <c r="H290" s="26" t="s">
        <v>180</v>
      </c>
    </row>
    <row r="291" spans="4:7" ht="14.25" customHeight="1">
      <c r="D291" s="28">
        <f>D289*D290</f>
        <v>2100000</v>
      </c>
      <c r="G291" s="28">
        <f>G289*G290</f>
        <v>375000</v>
      </c>
    </row>
    <row r="293" spans="3:9" ht="14.25" customHeight="1">
      <c r="C293" s="27" t="s">
        <v>178</v>
      </c>
      <c r="D293" s="29">
        <f>D291</f>
        <v>2100000</v>
      </c>
      <c r="E293" s="71" t="s">
        <v>176</v>
      </c>
      <c r="F293" s="29">
        <f>G291</f>
        <v>375000</v>
      </c>
      <c r="G293" s="26" t="s">
        <v>19</v>
      </c>
      <c r="H293" s="28">
        <f>(D293+F293)/(2*G260)</f>
        <v>206250</v>
      </c>
      <c r="I293" t="s">
        <v>182</v>
      </c>
    </row>
    <row r="294" spans="4:5" ht="14.25" customHeight="1">
      <c r="D294" s="27" t="s">
        <v>181</v>
      </c>
      <c r="E294" s="98">
        <f>G260</f>
        <v>6</v>
      </c>
    </row>
    <row r="296" spans="3:8" ht="14.25" customHeight="1">
      <c r="C296" s="73" t="s">
        <v>183</v>
      </c>
      <c r="D296" s="29">
        <f>H293</f>
        <v>206250</v>
      </c>
      <c r="E296" s="71" t="s">
        <v>18</v>
      </c>
      <c r="F296" s="116">
        <f>F263</f>
        <v>0.0631</v>
      </c>
      <c r="G296" s="26" t="s">
        <v>19</v>
      </c>
      <c r="H296" s="113">
        <f>D296*F296/E297</f>
        <v>4.647991071428572</v>
      </c>
    </row>
    <row r="297" spans="5:6" ht="14.25" customHeight="1">
      <c r="E297" s="68">
        <f>H261</f>
        <v>2800</v>
      </c>
      <c r="F297" t="s">
        <v>88</v>
      </c>
    </row>
    <row r="299" ht="14.25" customHeight="1">
      <c r="B299" s="3" t="s">
        <v>184</v>
      </c>
    </row>
    <row r="300" spans="3:4" ht="14.25" customHeight="1">
      <c r="C300" t="s">
        <v>173</v>
      </c>
      <c r="D300" s="28">
        <f>F258</f>
        <v>326000</v>
      </c>
    </row>
    <row r="301" spans="2:4" ht="14.25" customHeight="1">
      <c r="B301" s="27" t="s">
        <v>185</v>
      </c>
      <c r="C301" t="s">
        <v>142</v>
      </c>
      <c r="D301" s="28">
        <f>F259</f>
        <v>26000</v>
      </c>
    </row>
    <row r="302" spans="2:4" ht="14.25" customHeight="1">
      <c r="B302" s="27" t="s">
        <v>185</v>
      </c>
      <c r="C302" s="31" t="s">
        <v>92</v>
      </c>
      <c r="D302" s="29">
        <f>F261</f>
        <v>75000</v>
      </c>
    </row>
    <row r="303" ht="14.25" customHeight="1">
      <c r="D303" s="28">
        <f>D300-D301-D302</f>
        <v>225000</v>
      </c>
    </row>
    <row r="305" spans="3:8" ht="14.25" customHeight="1">
      <c r="C305" s="31"/>
      <c r="D305" s="29">
        <f>D303</f>
        <v>225000</v>
      </c>
      <c r="E305" s="31"/>
      <c r="G305" s="26" t="s">
        <v>19</v>
      </c>
      <c r="H305" s="113">
        <f>D305/(C306*E306)</f>
        <v>13.392857142857142</v>
      </c>
    </row>
    <row r="306" spans="3:6" ht="14.25" customHeight="1">
      <c r="C306" s="117">
        <f>G260</f>
        <v>6</v>
      </c>
      <c r="D306" s="33" t="s">
        <v>18</v>
      </c>
      <c r="E306" s="68">
        <f>H261</f>
        <v>2800</v>
      </c>
      <c r="F306" t="s">
        <v>88</v>
      </c>
    </row>
    <row r="308" ht="14.25" customHeight="1">
      <c r="B308" t="s">
        <v>186</v>
      </c>
    </row>
    <row r="309" spans="4:8" ht="14.25" customHeight="1">
      <c r="D309" s="118">
        <f>H296</f>
        <v>4.647991071428572</v>
      </c>
      <c r="E309" s="33" t="s">
        <v>176</v>
      </c>
      <c r="F309" s="118">
        <f>H305</f>
        <v>13.392857142857142</v>
      </c>
      <c r="G309" s="26" t="s">
        <v>19</v>
      </c>
      <c r="H309" s="114">
        <f>D309+F309</f>
        <v>18.040848214285713</v>
      </c>
    </row>
    <row r="312" spans="1:10" ht="14.25" customHeight="1">
      <c r="A312" s="105">
        <v>2.13</v>
      </c>
      <c r="B312" s="109" t="s">
        <v>187</v>
      </c>
      <c r="C312" s="34"/>
      <c r="D312" s="34"/>
      <c r="E312" s="34"/>
      <c r="F312" s="34"/>
      <c r="G312" s="34"/>
      <c r="H312" s="92">
        <v>470000</v>
      </c>
      <c r="I312" s="34"/>
      <c r="J312" s="67"/>
    </row>
    <row r="313" spans="2:10" ht="14.25" customHeight="1">
      <c r="B313" s="34"/>
      <c r="C313" s="34"/>
      <c r="D313" s="34"/>
      <c r="E313" s="34"/>
      <c r="F313" s="34"/>
      <c r="G313" s="110" t="s">
        <v>188</v>
      </c>
      <c r="H313" s="106">
        <v>4</v>
      </c>
      <c r="I313" s="34" t="s">
        <v>82</v>
      </c>
      <c r="J313" s="67"/>
    </row>
    <row r="314" spans="2:10" ht="14.25" customHeight="1">
      <c r="B314" s="34"/>
      <c r="C314" s="70" t="s">
        <v>189</v>
      </c>
      <c r="D314" s="111">
        <v>1800</v>
      </c>
      <c r="E314" s="34" t="s">
        <v>190</v>
      </c>
      <c r="F314" s="34"/>
      <c r="G314" s="70" t="s">
        <v>191</v>
      </c>
      <c r="H314" s="107">
        <v>75000</v>
      </c>
      <c r="I314" s="34"/>
      <c r="J314" s="67"/>
    </row>
    <row r="315" spans="2:10" ht="14.25" customHeight="1">
      <c r="B315" s="34"/>
      <c r="C315" s="34"/>
      <c r="D315" s="34"/>
      <c r="E315" s="34"/>
      <c r="F315" s="34"/>
      <c r="G315" s="110" t="s">
        <v>192</v>
      </c>
      <c r="H315" s="62">
        <v>0.083</v>
      </c>
      <c r="I315" s="34"/>
      <c r="J315" s="67"/>
    </row>
    <row r="316" spans="2:10" ht="14.25" customHeight="1">
      <c r="B316" s="34"/>
      <c r="C316" s="34"/>
      <c r="D316" s="34"/>
      <c r="E316" s="34"/>
      <c r="F316" s="34"/>
      <c r="G316" s="70" t="s">
        <v>193</v>
      </c>
      <c r="H316" s="62">
        <v>0.35</v>
      </c>
      <c r="I316" s="34"/>
      <c r="J316" s="67"/>
    </row>
    <row r="317" spans="2:10" ht="14.25" customHeight="1">
      <c r="B317" s="34"/>
      <c r="C317" s="34"/>
      <c r="D317" s="34"/>
      <c r="E317" s="34"/>
      <c r="F317" s="34"/>
      <c r="G317" s="70" t="s">
        <v>194</v>
      </c>
      <c r="H317" s="62">
        <v>0.05</v>
      </c>
      <c r="I317" s="34"/>
      <c r="J317" s="67"/>
    </row>
    <row r="318" spans="2:10" ht="14.25" customHeight="1">
      <c r="B318" s="34" t="s">
        <v>219</v>
      </c>
      <c r="C318" s="34"/>
      <c r="D318" s="34"/>
      <c r="E318" s="34"/>
      <c r="F318" s="34"/>
      <c r="G318" s="34"/>
      <c r="H318" s="34"/>
      <c r="I318" s="34"/>
      <c r="J318" s="67"/>
    </row>
    <row r="319" spans="2:10" ht="14.25" customHeight="1">
      <c r="B319" s="34" t="s">
        <v>195</v>
      </c>
      <c r="C319" s="34"/>
      <c r="D319" s="34"/>
      <c r="E319" s="34"/>
      <c r="F319" s="34"/>
      <c r="G319" s="34"/>
      <c r="H319" s="34"/>
      <c r="I319" s="34"/>
      <c r="J319" s="67"/>
    </row>
    <row r="320" spans="2:10" ht="14.25" customHeight="1">
      <c r="B320" s="34"/>
      <c r="C320" s="34"/>
      <c r="D320" s="34"/>
      <c r="E320" s="34"/>
      <c r="F320" s="34"/>
      <c r="G320" s="34"/>
      <c r="H320" s="34"/>
      <c r="I320" s="34"/>
      <c r="J320" s="67"/>
    </row>
    <row r="321" ht="14.25" customHeight="1">
      <c r="B321" s="3" t="s">
        <v>168</v>
      </c>
    </row>
    <row r="322" spans="2:4" ht="14.25" customHeight="1">
      <c r="B322" s="34" t="s">
        <v>169</v>
      </c>
      <c r="D322" s="28">
        <f>H312</f>
        <v>470000</v>
      </c>
    </row>
    <row r="323" spans="2:3" ht="14.25" customHeight="1">
      <c r="B323" s="27" t="s">
        <v>196</v>
      </c>
      <c r="C323" s="35">
        <f>H313</f>
        <v>4</v>
      </c>
    </row>
    <row r="324" spans="2:5" ht="14.25" customHeight="1">
      <c r="B324" s="70" t="s">
        <v>83</v>
      </c>
      <c r="C324" s="31">
        <f>H315*(1+H315)^C323</f>
        <v>0.11418049432464299</v>
      </c>
      <c r="D324" s="26" t="s">
        <v>19</v>
      </c>
      <c r="E324">
        <f>C324/C325</f>
        <v>0.3039394093715633</v>
      </c>
    </row>
    <row r="325" ht="14.25" customHeight="1">
      <c r="C325">
        <f>((1+H315)^C323)-1</f>
        <v>0.37566860632099974</v>
      </c>
    </row>
    <row r="326" spans="3:9" ht="14.25" customHeight="1">
      <c r="C326" s="27" t="s">
        <v>197</v>
      </c>
      <c r="D326" s="28">
        <f>D322</f>
        <v>470000</v>
      </c>
      <c r="E326" s="26" t="s">
        <v>18</v>
      </c>
      <c r="F326">
        <f>E324</f>
        <v>0.3039394093715633</v>
      </c>
      <c r="G326" s="26" t="s">
        <v>19</v>
      </c>
      <c r="H326" s="6">
        <f>D326*F326</f>
        <v>142851.52240463474</v>
      </c>
      <c r="I326" t="s">
        <v>198</v>
      </c>
    </row>
    <row r="328" spans="2:4" ht="14.25" customHeight="1">
      <c r="B328" s="34" t="s">
        <v>92</v>
      </c>
      <c r="D328" s="28">
        <f>H314</f>
        <v>75000</v>
      </c>
    </row>
    <row r="329" spans="2:5" ht="14.25" customHeight="1">
      <c r="B329" s="70" t="s">
        <v>199</v>
      </c>
      <c r="C329" s="121">
        <f>H315</f>
        <v>0.083</v>
      </c>
      <c r="D329" s="26" t="s">
        <v>19</v>
      </c>
      <c r="E329">
        <f>C329/C330</f>
        <v>0.22093940937156328</v>
      </c>
    </row>
    <row r="330" ht="14.25" customHeight="1">
      <c r="C330" s="122">
        <f>C325</f>
        <v>0.37566860632099974</v>
      </c>
    </row>
    <row r="331" spans="3:9" ht="14.25" customHeight="1">
      <c r="C331" s="27" t="s">
        <v>94</v>
      </c>
      <c r="D331" s="28">
        <f>D328</f>
        <v>75000</v>
      </c>
      <c r="E331" s="26" t="s">
        <v>18</v>
      </c>
      <c r="F331">
        <f>E329</f>
        <v>0.22093940937156328</v>
      </c>
      <c r="G331" s="26" t="s">
        <v>19</v>
      </c>
      <c r="H331" s="6">
        <f>D331*F331</f>
        <v>16570.455702867246</v>
      </c>
      <c r="I331" t="s">
        <v>198</v>
      </c>
    </row>
    <row r="333" ht="14.25" customHeight="1">
      <c r="B333" s="34" t="s">
        <v>200</v>
      </c>
    </row>
    <row r="334" spans="3:9" ht="14.25" customHeight="1">
      <c r="C334" s="73" t="s">
        <v>143</v>
      </c>
      <c r="D334" s="14">
        <f>H326</f>
        <v>142851.52240463474</v>
      </c>
      <c r="E334" s="123" t="s">
        <v>130</v>
      </c>
      <c r="F334" s="14">
        <f>H331</f>
        <v>16570.455702867246</v>
      </c>
      <c r="G334" s="26" t="s">
        <v>19</v>
      </c>
      <c r="H334" s="114">
        <f>(D334-F334)/E335</f>
        <v>70.15614816764861</v>
      </c>
      <c r="I334" t="s">
        <v>201</v>
      </c>
    </row>
    <row r="335" spans="5:6" ht="14.25" customHeight="1">
      <c r="E335" s="68">
        <f>D314</f>
        <v>1800</v>
      </c>
      <c r="F335" t="s">
        <v>88</v>
      </c>
    </row>
    <row r="337" spans="2:6" ht="14.25" customHeight="1" thickBot="1">
      <c r="B337" s="127" t="s">
        <v>202</v>
      </c>
      <c r="C337" s="128"/>
      <c r="D337" s="128"/>
      <c r="E337" s="128"/>
      <c r="F337" s="128"/>
    </row>
    <row r="338" spans="2:6" ht="33.75" customHeight="1">
      <c r="B338" s="125" t="s">
        <v>203</v>
      </c>
      <c r="C338" s="126" t="s">
        <v>204</v>
      </c>
      <c r="D338" s="125" t="s">
        <v>205</v>
      </c>
      <c r="E338" s="125" t="s">
        <v>206</v>
      </c>
      <c r="F338" s="125" t="s">
        <v>207</v>
      </c>
    </row>
    <row r="339" spans="2:6" ht="14.25" customHeight="1">
      <c r="B339" s="26">
        <v>0</v>
      </c>
      <c r="C339" s="124"/>
      <c r="D339" s="28">
        <v>0</v>
      </c>
      <c r="E339" s="28">
        <v>0</v>
      </c>
      <c r="F339" s="28">
        <f>H312</f>
        <v>470000</v>
      </c>
    </row>
    <row r="340" spans="2:6" ht="14.25" customHeight="1">
      <c r="B340" s="26">
        <v>1</v>
      </c>
      <c r="C340" s="166">
        <v>0.2</v>
      </c>
      <c r="D340" s="28">
        <f aca="true" t="shared" si="0" ref="D340:D345">F339</f>
        <v>470000</v>
      </c>
      <c r="E340" s="28">
        <f aca="true" t="shared" si="1" ref="E340:E345">C340*$F$339</f>
        <v>94000</v>
      </c>
      <c r="F340" s="28">
        <f aca="true" t="shared" si="2" ref="F340:F345">D340-E340</f>
        <v>376000</v>
      </c>
    </row>
    <row r="341" spans="2:6" ht="14.25" customHeight="1">
      <c r="B341" s="26">
        <v>2</v>
      </c>
      <c r="C341" s="166">
        <v>0.32</v>
      </c>
      <c r="D341" s="28">
        <f t="shared" si="0"/>
        <v>376000</v>
      </c>
      <c r="E341" s="28">
        <f t="shared" si="1"/>
        <v>150400</v>
      </c>
      <c r="F341" s="28">
        <f t="shared" si="2"/>
        <v>225600</v>
      </c>
    </row>
    <row r="342" spans="2:6" ht="14.25" customHeight="1">
      <c r="B342" s="26">
        <v>3</v>
      </c>
      <c r="C342" s="166">
        <v>0.192</v>
      </c>
      <c r="D342" s="28">
        <f t="shared" si="0"/>
        <v>225600</v>
      </c>
      <c r="E342" s="28">
        <f t="shared" si="1"/>
        <v>90240</v>
      </c>
      <c r="F342" s="28">
        <f t="shared" si="2"/>
        <v>135360</v>
      </c>
    </row>
    <row r="343" spans="2:6" ht="14.25" customHeight="1">
      <c r="B343" s="26">
        <v>4</v>
      </c>
      <c r="C343" s="167">
        <v>0.1152</v>
      </c>
      <c r="D343" s="28">
        <f t="shared" si="0"/>
        <v>135360</v>
      </c>
      <c r="E343" s="165">
        <f t="shared" si="1"/>
        <v>54144</v>
      </c>
      <c r="F343" s="28">
        <f t="shared" si="2"/>
        <v>81216</v>
      </c>
    </row>
    <row r="344" spans="2:6" ht="14.25" customHeight="1">
      <c r="B344" s="26">
        <v>5</v>
      </c>
      <c r="C344" s="167">
        <v>0.1152</v>
      </c>
      <c r="D344" s="28">
        <f t="shared" si="0"/>
        <v>81216</v>
      </c>
      <c r="E344" s="165">
        <f t="shared" si="1"/>
        <v>54144</v>
      </c>
      <c r="F344" s="28">
        <f t="shared" si="2"/>
        <v>27072</v>
      </c>
    </row>
    <row r="345" spans="2:6" ht="14.25" customHeight="1">
      <c r="B345" s="71">
        <v>6</v>
      </c>
      <c r="C345" s="76">
        <v>0.0576</v>
      </c>
      <c r="D345" s="29">
        <f t="shared" si="0"/>
        <v>27072</v>
      </c>
      <c r="E345" s="29">
        <f t="shared" si="1"/>
        <v>27072</v>
      </c>
      <c r="F345" s="29">
        <f t="shared" si="2"/>
        <v>0</v>
      </c>
    </row>
    <row r="346" ht="14.25" customHeight="1">
      <c r="E346" s="28">
        <f>SUM(E339:E345)</f>
        <v>470000</v>
      </c>
    </row>
    <row r="348" spans="2:4" ht="14.25" customHeight="1">
      <c r="B348" s="131" t="s">
        <v>208</v>
      </c>
      <c r="C348" s="32"/>
      <c r="D348" s="32"/>
    </row>
    <row r="349" spans="2:4" ht="14.25" customHeight="1" thickBot="1">
      <c r="B349" s="128"/>
      <c r="C349" s="128"/>
      <c r="D349" s="132" t="s">
        <v>210</v>
      </c>
    </row>
    <row r="350" spans="2:4" ht="27" customHeight="1">
      <c r="B350" s="129" t="s">
        <v>203</v>
      </c>
      <c r="C350" s="129" t="s">
        <v>206</v>
      </c>
      <c r="D350" s="130" t="s">
        <v>209</v>
      </c>
    </row>
    <row r="351" spans="2:4" ht="14.25" customHeight="1">
      <c r="B351" s="26">
        <v>1</v>
      </c>
      <c r="C351" s="28">
        <f>E340</f>
        <v>94000</v>
      </c>
      <c r="D351" s="28">
        <f>C351*$H$316</f>
        <v>32900</v>
      </c>
    </row>
    <row r="352" spans="2:4" ht="14.25" customHeight="1">
      <c r="B352" s="26">
        <v>2</v>
      </c>
      <c r="C352" s="28">
        <f>E341</f>
        <v>150400</v>
      </c>
      <c r="D352" s="28">
        <f>C352*$H$316</f>
        <v>52640</v>
      </c>
    </row>
    <row r="353" spans="2:4" ht="14.25" customHeight="1">
      <c r="B353" s="26">
        <v>3</v>
      </c>
      <c r="C353" s="28">
        <f>E342</f>
        <v>90240</v>
      </c>
      <c r="D353" s="28">
        <f>C353*$H$316</f>
        <v>31583.999999999996</v>
      </c>
    </row>
    <row r="354" spans="2:4" ht="14.25" customHeight="1">
      <c r="B354" s="26">
        <v>4</v>
      </c>
      <c r="C354" s="28">
        <f>E343</f>
        <v>54144</v>
      </c>
      <c r="D354" s="28">
        <f>C354*$H$316</f>
        <v>18950.399999999998</v>
      </c>
    </row>
    <row r="355" spans="2:4" ht="14.25" customHeight="1">
      <c r="B355" s="71">
        <v>5</v>
      </c>
      <c r="C355" s="29"/>
      <c r="D355" s="29"/>
    </row>
    <row r="356" spans="2:4" ht="14.25" customHeight="1" thickBot="1">
      <c r="B356" s="133"/>
      <c r="C356" s="134" t="s">
        <v>211</v>
      </c>
      <c r="D356" s="135">
        <f>SUM(D351:D355)</f>
        <v>136074.4</v>
      </c>
    </row>
    <row r="358" spans="4:9" ht="14.25" customHeight="1">
      <c r="D358" s="73" t="s">
        <v>212</v>
      </c>
      <c r="E358" s="42">
        <f>D356</f>
        <v>136074.4</v>
      </c>
      <c r="F358" s="26" t="s">
        <v>19</v>
      </c>
      <c r="H358" s="139">
        <f>-E358/E359</f>
        <v>-18.89922222222222</v>
      </c>
      <c r="I358" t="s">
        <v>201</v>
      </c>
    </row>
    <row r="359" ht="14.25" customHeight="1">
      <c r="E359" s="85">
        <f>H313*D314</f>
        <v>7200</v>
      </c>
    </row>
    <row r="361" spans="2:7" ht="14.25" customHeight="1">
      <c r="B361" s="3" t="s">
        <v>214</v>
      </c>
      <c r="G361" s="1" t="s">
        <v>215</v>
      </c>
    </row>
    <row r="366" ht="14.25" customHeight="1">
      <c r="B366" s="3" t="s">
        <v>216</v>
      </c>
    </row>
    <row r="367" spans="2:7" ht="14.25" customHeight="1">
      <c r="B367" t="s">
        <v>217</v>
      </c>
      <c r="C367" s="29">
        <f>H312*(H313+1)</f>
        <v>2350000</v>
      </c>
      <c r="D367" s="71" t="s">
        <v>176</v>
      </c>
      <c r="E367" s="29">
        <f>H314*(H313-1)</f>
        <v>225000</v>
      </c>
      <c r="F367" s="26" t="s">
        <v>19</v>
      </c>
      <c r="G367" s="28">
        <f>(C367+E367)/D368</f>
        <v>321875</v>
      </c>
    </row>
    <row r="368" ht="14.25" customHeight="1">
      <c r="D368" s="26">
        <f>2*H313</f>
        <v>8</v>
      </c>
    </row>
    <row r="369" spans="4:9" ht="14.25" customHeight="1">
      <c r="D369" s="136" t="s">
        <v>218</v>
      </c>
      <c r="E369" s="29">
        <f>G367</f>
        <v>321875</v>
      </c>
      <c r="F369" s="71" t="s">
        <v>18</v>
      </c>
      <c r="G369" s="138">
        <f>H317</f>
        <v>0.05</v>
      </c>
      <c r="H369" s="114">
        <f>E369*G369/F370</f>
        <v>8.940972222222221</v>
      </c>
      <c r="I369" t="s">
        <v>201</v>
      </c>
    </row>
    <row r="370" spans="6:7" ht="14.25" customHeight="1">
      <c r="F370" s="68">
        <f>D314</f>
        <v>1800</v>
      </c>
      <c r="G370" t="s">
        <v>88</v>
      </c>
    </row>
    <row r="372" spans="7:8" ht="14.25" customHeight="1">
      <c r="G372" s="27" t="s">
        <v>220</v>
      </c>
      <c r="H372" s="86">
        <f>SUM(H334:H369)</f>
        <v>60.19789816764861</v>
      </c>
    </row>
    <row r="373" spans="7:8" ht="14.25" customHeight="1">
      <c r="G373" s="27"/>
      <c r="H373" s="86"/>
    </row>
    <row r="376" spans="1:7" ht="14.25" customHeight="1">
      <c r="A376" s="140">
        <v>2.14</v>
      </c>
      <c r="B376" s="109" t="s">
        <v>221</v>
      </c>
      <c r="C376" s="34"/>
      <c r="D376" s="34"/>
      <c r="E376" s="34"/>
      <c r="F376" s="34"/>
      <c r="G376" s="34"/>
    </row>
    <row r="377" spans="3:8" ht="14.25" customHeight="1">
      <c r="C377" s="34"/>
      <c r="D377" s="34"/>
      <c r="E377" s="34"/>
      <c r="F377" s="34"/>
      <c r="G377" s="110" t="s">
        <v>159</v>
      </c>
      <c r="H377" s="101">
        <v>216000</v>
      </c>
    </row>
    <row r="378" spans="3:8" ht="14.25" customHeight="1">
      <c r="C378" s="34"/>
      <c r="D378" s="34"/>
      <c r="E378" s="34"/>
      <c r="F378" s="34"/>
      <c r="G378" s="110" t="s">
        <v>160</v>
      </c>
      <c r="H378" s="101">
        <v>26000</v>
      </c>
    </row>
    <row r="379" spans="3:9" ht="14.25" customHeight="1">
      <c r="C379" s="34"/>
      <c r="D379" s="34"/>
      <c r="E379" s="34"/>
      <c r="F379" s="34"/>
      <c r="G379" s="110" t="s">
        <v>229</v>
      </c>
      <c r="H379" s="102">
        <v>6</v>
      </c>
      <c r="I379" t="s">
        <v>82</v>
      </c>
    </row>
    <row r="380" spans="2:8" ht="14.25" customHeight="1">
      <c r="B380" s="34"/>
      <c r="D380" s="96">
        <v>15000</v>
      </c>
      <c r="E380" s="34" t="s">
        <v>222</v>
      </c>
      <c r="F380" s="34"/>
      <c r="G380" s="70" t="s">
        <v>161</v>
      </c>
      <c r="H380" s="101">
        <v>35000</v>
      </c>
    </row>
    <row r="381" spans="2:8" ht="14.25" customHeight="1">
      <c r="B381" s="109" t="s">
        <v>167</v>
      </c>
      <c r="C381" s="34"/>
      <c r="D381" s="34"/>
      <c r="E381" s="34"/>
      <c r="F381" s="34"/>
      <c r="G381" s="70" t="s">
        <v>223</v>
      </c>
      <c r="H381" s="103">
        <v>0.0721</v>
      </c>
    </row>
    <row r="382" spans="2:8" ht="14.25" customHeight="1">
      <c r="B382" s="34"/>
      <c r="C382" s="34"/>
      <c r="D382" s="34"/>
      <c r="E382" s="34"/>
      <c r="F382" s="34"/>
      <c r="G382" s="70" t="s">
        <v>193</v>
      </c>
      <c r="H382" s="103">
        <v>0.42</v>
      </c>
    </row>
    <row r="383" spans="2:8" ht="14.25" customHeight="1">
      <c r="B383" s="34" t="s">
        <v>224</v>
      </c>
      <c r="C383" s="34"/>
      <c r="D383" s="34"/>
      <c r="E383" s="34"/>
      <c r="F383" s="34"/>
      <c r="G383" s="34"/>
      <c r="H383" s="103">
        <v>0.02</v>
      </c>
    </row>
    <row r="384" spans="2:7" ht="14.25" customHeight="1">
      <c r="B384" s="34" t="s">
        <v>225</v>
      </c>
      <c r="C384" s="34"/>
      <c r="D384" s="34"/>
      <c r="E384" s="34"/>
      <c r="F384" s="34"/>
      <c r="G384" s="34"/>
    </row>
    <row r="385" spans="2:7" ht="14.25" customHeight="1">
      <c r="B385" s="34" t="s">
        <v>195</v>
      </c>
      <c r="C385" s="34"/>
      <c r="D385" s="34"/>
      <c r="E385" s="34"/>
      <c r="F385" s="34"/>
      <c r="G385" s="34"/>
    </row>
    <row r="387" ht="14.25" customHeight="1">
      <c r="B387" s="3" t="s">
        <v>168</v>
      </c>
    </row>
    <row r="388" spans="2:4" ht="14.25" customHeight="1">
      <c r="B388" s="34" t="s">
        <v>169</v>
      </c>
      <c r="D388" s="28">
        <f>H377</f>
        <v>216000</v>
      </c>
    </row>
    <row r="389" spans="3:4" ht="14.25" customHeight="1">
      <c r="C389" s="115" t="s">
        <v>226</v>
      </c>
      <c r="D389" s="29">
        <f>H378</f>
        <v>26000</v>
      </c>
    </row>
    <row r="390" spans="2:4" ht="14.25" customHeight="1">
      <c r="B390" s="50" t="s">
        <v>123</v>
      </c>
      <c r="D390" s="28">
        <f>D388-D389</f>
        <v>190000</v>
      </c>
    </row>
    <row r="392" spans="2:3" ht="14.25" customHeight="1">
      <c r="B392" s="27" t="s">
        <v>196</v>
      </c>
      <c r="C392" s="35">
        <f>H379</f>
        <v>6</v>
      </c>
    </row>
    <row r="393" spans="2:5" ht="14.25" customHeight="1">
      <c r="B393" s="70" t="s">
        <v>83</v>
      </c>
      <c r="C393" s="31">
        <f>H381*(1+H381)^C392</f>
        <v>0.1094830886275041</v>
      </c>
      <c r="D393" s="26" t="s">
        <v>19</v>
      </c>
      <c r="E393">
        <f>C393/C394</f>
        <v>0.21115779834829748</v>
      </c>
    </row>
    <row r="394" ht="14.25" customHeight="1">
      <c r="C394">
        <f>((1+H381)^C392)-1</f>
        <v>0.5184894400486006</v>
      </c>
    </row>
    <row r="396" spans="3:9" ht="14.25" customHeight="1">
      <c r="C396" s="27" t="s">
        <v>197</v>
      </c>
      <c r="D396" s="28">
        <f>D390</f>
        <v>190000</v>
      </c>
      <c r="E396" s="26" t="s">
        <v>18</v>
      </c>
      <c r="F396">
        <f>E393</f>
        <v>0.21115779834829748</v>
      </c>
      <c r="G396" s="26" t="s">
        <v>19</v>
      </c>
      <c r="H396" s="6">
        <f>D396*F396</f>
        <v>40119.98168617652</v>
      </c>
      <c r="I396" t="s">
        <v>198</v>
      </c>
    </row>
    <row r="398" spans="2:3" ht="14.25" customHeight="1">
      <c r="B398" s="34" t="s">
        <v>92</v>
      </c>
      <c r="C398" s="28">
        <f>H380</f>
        <v>35000</v>
      </c>
    </row>
    <row r="399" spans="2:5" ht="14.25" customHeight="1">
      <c r="B399" s="70" t="s">
        <v>199</v>
      </c>
      <c r="C399" s="121">
        <f>H381</f>
        <v>0.0721</v>
      </c>
      <c r="D399" s="26" t="s">
        <v>19</v>
      </c>
      <c r="E399">
        <f>C399/C400</f>
        <v>0.1390577983482975</v>
      </c>
    </row>
    <row r="400" ht="14.25" customHeight="1">
      <c r="C400" s="122">
        <f>C394</f>
        <v>0.5184894400486006</v>
      </c>
    </row>
    <row r="401" spans="3:9" ht="14.25" customHeight="1">
      <c r="C401" s="27" t="s">
        <v>94</v>
      </c>
      <c r="D401" s="28">
        <f>C398</f>
        <v>35000</v>
      </c>
      <c r="E401" s="26" t="s">
        <v>18</v>
      </c>
      <c r="F401">
        <f>E399</f>
        <v>0.1390577983482975</v>
      </c>
      <c r="G401" s="26" t="s">
        <v>19</v>
      </c>
      <c r="H401" s="6">
        <f>D401*F401</f>
        <v>4867.022942190413</v>
      </c>
      <c r="I401" t="s">
        <v>198</v>
      </c>
    </row>
    <row r="403" ht="14.25" customHeight="1">
      <c r="B403" s="34" t="s">
        <v>200</v>
      </c>
    </row>
    <row r="404" spans="3:7" ht="14.25" customHeight="1">
      <c r="C404" s="27" t="s">
        <v>227</v>
      </c>
      <c r="D404" s="97">
        <f>D380</f>
        <v>15000</v>
      </c>
      <c r="E404" s="26" t="s">
        <v>19</v>
      </c>
      <c r="F404" s="68">
        <f>D404/D405</f>
        <v>2500</v>
      </c>
      <c r="G404" t="s">
        <v>228</v>
      </c>
    </row>
    <row r="405" ht="14.25" customHeight="1">
      <c r="D405" s="26">
        <f>H379</f>
        <v>6</v>
      </c>
    </row>
    <row r="406" spans="3:9" ht="14.25" customHeight="1">
      <c r="C406" s="73" t="s">
        <v>143</v>
      </c>
      <c r="D406" s="14">
        <f>H396</f>
        <v>40119.98168617652</v>
      </c>
      <c r="E406" s="123" t="s">
        <v>130</v>
      </c>
      <c r="F406" s="14">
        <f>H401</f>
        <v>4867.022942190413</v>
      </c>
      <c r="G406" s="26" t="s">
        <v>19</v>
      </c>
      <c r="H406" s="114">
        <f>(D406-F406)/E407</f>
        <v>14.101183497594443</v>
      </c>
      <c r="I406" t="s">
        <v>201</v>
      </c>
    </row>
    <row r="407" spans="5:6" ht="14.25" customHeight="1">
      <c r="E407" s="68">
        <f>F404</f>
        <v>2500</v>
      </c>
      <c r="F407" t="s">
        <v>88</v>
      </c>
    </row>
    <row r="408" ht="14.25" customHeight="1">
      <c r="E408" s="68"/>
    </row>
    <row r="409" spans="2:6" ht="14.25" customHeight="1" thickBot="1">
      <c r="B409" s="127" t="s">
        <v>202</v>
      </c>
      <c r="C409" s="128"/>
      <c r="D409" s="128"/>
      <c r="E409" s="128"/>
      <c r="F409" s="128"/>
    </row>
    <row r="410" spans="2:6" ht="31.5" customHeight="1">
      <c r="B410" s="125" t="s">
        <v>203</v>
      </c>
      <c r="C410" s="126" t="s">
        <v>204</v>
      </c>
      <c r="D410" s="125" t="s">
        <v>205</v>
      </c>
      <c r="E410" s="125" t="s">
        <v>206</v>
      </c>
      <c r="F410" s="125" t="s">
        <v>207</v>
      </c>
    </row>
    <row r="411" spans="2:6" ht="14.25" customHeight="1">
      <c r="B411" s="26">
        <v>0</v>
      </c>
      <c r="C411" s="124"/>
      <c r="D411" s="28">
        <v>0</v>
      </c>
      <c r="E411" s="28">
        <v>0</v>
      </c>
      <c r="F411" s="28">
        <f>D388</f>
        <v>216000</v>
      </c>
    </row>
    <row r="412" spans="2:6" ht="14.25" customHeight="1">
      <c r="B412" s="26">
        <v>1</v>
      </c>
      <c r="C412" s="166">
        <v>0.2</v>
      </c>
      <c r="D412" s="28">
        <f aca="true" t="shared" si="3" ref="D412:D417">F411</f>
        <v>216000</v>
      </c>
      <c r="E412" s="28">
        <f aca="true" t="shared" si="4" ref="E412:E417">C412*$F$411</f>
        <v>43200</v>
      </c>
      <c r="F412" s="28">
        <f aca="true" t="shared" si="5" ref="F412:F417">D412-E412</f>
        <v>172800</v>
      </c>
    </row>
    <row r="413" spans="2:6" ht="14.25" customHeight="1">
      <c r="B413" s="26">
        <v>2</v>
      </c>
      <c r="C413" s="166">
        <v>0.32</v>
      </c>
      <c r="D413" s="28">
        <f t="shared" si="3"/>
        <v>172800</v>
      </c>
      <c r="E413" s="28">
        <f t="shared" si="4"/>
        <v>69120</v>
      </c>
      <c r="F413" s="28">
        <f t="shared" si="5"/>
        <v>103680</v>
      </c>
    </row>
    <row r="414" spans="2:6" ht="14.25" customHeight="1">
      <c r="B414" s="26">
        <v>3</v>
      </c>
      <c r="C414" s="166">
        <v>0.192</v>
      </c>
      <c r="D414" s="28">
        <f t="shared" si="3"/>
        <v>103680</v>
      </c>
      <c r="E414" s="28">
        <f t="shared" si="4"/>
        <v>41472</v>
      </c>
      <c r="F414" s="28">
        <f t="shared" si="5"/>
        <v>62208</v>
      </c>
    </row>
    <row r="415" spans="2:6" ht="14.25" customHeight="1">
      <c r="B415" s="26">
        <v>4</v>
      </c>
      <c r="C415" s="166">
        <v>0.1152</v>
      </c>
      <c r="D415" s="28">
        <f t="shared" si="3"/>
        <v>62208</v>
      </c>
      <c r="E415" s="28">
        <f t="shared" si="4"/>
        <v>24883.2</v>
      </c>
      <c r="F415" s="28">
        <f t="shared" si="5"/>
        <v>37324.8</v>
      </c>
    </row>
    <row r="416" spans="2:6" ht="14.25" customHeight="1">
      <c r="B416" s="26">
        <v>5</v>
      </c>
      <c r="C416" s="167">
        <v>0.1152</v>
      </c>
      <c r="D416" s="165">
        <f t="shared" si="3"/>
        <v>37324.8</v>
      </c>
      <c r="E416" s="28">
        <f t="shared" si="4"/>
        <v>24883.2</v>
      </c>
      <c r="F416" s="165">
        <f t="shared" si="5"/>
        <v>12441.600000000002</v>
      </c>
    </row>
    <row r="417" spans="2:6" ht="14.25" customHeight="1">
      <c r="B417" s="71">
        <v>6</v>
      </c>
      <c r="C417" s="76">
        <v>0.0576</v>
      </c>
      <c r="D417" s="29">
        <f t="shared" si="3"/>
        <v>12441.600000000002</v>
      </c>
      <c r="E417" s="29">
        <f t="shared" si="4"/>
        <v>12441.6</v>
      </c>
      <c r="F417" s="29">
        <f t="shared" si="5"/>
        <v>0</v>
      </c>
    </row>
    <row r="418" spans="3:6" ht="14.25" customHeight="1">
      <c r="C418" s="167">
        <f>SUM(C412:C417)</f>
        <v>0.9999999999999999</v>
      </c>
      <c r="D418" s="32"/>
      <c r="E418" s="165">
        <f>SUM(E411:E417)</f>
        <v>216000.00000000003</v>
      </c>
      <c r="F418" s="32"/>
    </row>
    <row r="419" spans="3:6" ht="14.25" customHeight="1">
      <c r="C419" s="167"/>
      <c r="D419" s="32"/>
      <c r="E419" s="165"/>
      <c r="F419" s="32"/>
    </row>
    <row r="420" spans="3:6" ht="14.25" customHeight="1">
      <c r="C420" s="167"/>
      <c r="D420" s="32"/>
      <c r="E420" s="165"/>
      <c r="F420" s="32"/>
    </row>
    <row r="421" spans="2:4" ht="14.25" customHeight="1">
      <c r="B421" s="131" t="s">
        <v>208</v>
      </c>
      <c r="C421" s="32"/>
      <c r="D421" s="32"/>
    </row>
    <row r="422" spans="2:4" ht="14.25" customHeight="1" thickBot="1">
      <c r="B422" s="128"/>
      <c r="C422" s="128"/>
      <c r="D422" s="132" t="s">
        <v>210</v>
      </c>
    </row>
    <row r="423" spans="2:4" ht="22.5" customHeight="1">
      <c r="B423" s="129" t="s">
        <v>203</v>
      </c>
      <c r="C423" s="129" t="s">
        <v>206</v>
      </c>
      <c r="D423" s="130" t="s">
        <v>209</v>
      </c>
    </row>
    <row r="424" spans="2:4" ht="14.25" customHeight="1">
      <c r="B424" s="26">
        <v>1</v>
      </c>
      <c r="C424" s="28">
        <f aca="true" t="shared" si="6" ref="C424:C429">E412</f>
        <v>43200</v>
      </c>
      <c r="D424" s="28">
        <f aca="true" t="shared" si="7" ref="D424:D429">C424*$H$382</f>
        <v>18144</v>
      </c>
    </row>
    <row r="425" spans="2:4" ht="14.25" customHeight="1">
      <c r="B425" s="26">
        <v>2</v>
      </c>
      <c r="C425" s="28">
        <f t="shared" si="6"/>
        <v>69120</v>
      </c>
      <c r="D425" s="28">
        <f t="shared" si="7"/>
        <v>29030.399999999998</v>
      </c>
    </row>
    <row r="426" spans="2:4" ht="14.25" customHeight="1">
      <c r="B426" s="26">
        <v>3</v>
      </c>
      <c r="C426" s="28">
        <f t="shared" si="6"/>
        <v>41472</v>
      </c>
      <c r="D426" s="28">
        <f t="shared" si="7"/>
        <v>17418.239999999998</v>
      </c>
    </row>
    <row r="427" spans="2:6" ht="14.25" customHeight="1">
      <c r="B427" s="26">
        <v>4</v>
      </c>
      <c r="C427" s="28">
        <f t="shared" si="6"/>
        <v>24883.2</v>
      </c>
      <c r="D427" s="28">
        <f t="shared" si="7"/>
        <v>10450.944</v>
      </c>
      <c r="F427" s="6"/>
    </row>
    <row r="428" spans="2:4" ht="14.25" customHeight="1">
      <c r="B428" s="26">
        <v>5</v>
      </c>
      <c r="C428" s="28">
        <f t="shared" si="6"/>
        <v>24883.2</v>
      </c>
      <c r="D428" s="28">
        <f t="shared" si="7"/>
        <v>10450.944</v>
      </c>
    </row>
    <row r="429" spans="2:4" ht="14.25" customHeight="1">
      <c r="B429" s="26">
        <v>6</v>
      </c>
      <c r="C429" s="28">
        <f t="shared" si="6"/>
        <v>12441.6</v>
      </c>
      <c r="D429" s="28">
        <f t="shared" si="7"/>
        <v>5225.472</v>
      </c>
    </row>
    <row r="430" spans="2:4" ht="14.25" customHeight="1" thickBot="1">
      <c r="B430" s="128"/>
      <c r="C430" s="134" t="s">
        <v>211</v>
      </c>
      <c r="D430" s="135">
        <f>SUM(D424:D429)</f>
        <v>90719.99999999999</v>
      </c>
    </row>
    <row r="432" spans="4:9" ht="14.25" customHeight="1">
      <c r="D432" s="73" t="s">
        <v>212</v>
      </c>
      <c r="E432" s="42">
        <f>D430</f>
        <v>90719.99999999999</v>
      </c>
      <c r="F432" s="26" t="s">
        <v>19</v>
      </c>
      <c r="H432" s="139">
        <f>-E432/E433</f>
        <v>-6.047999999999999</v>
      </c>
      <c r="I432" t="s">
        <v>201</v>
      </c>
    </row>
    <row r="433" ht="14.25" customHeight="1">
      <c r="E433" s="85">
        <f>D380</f>
        <v>15000</v>
      </c>
    </row>
    <row r="435" spans="2:7" ht="14.25" customHeight="1">
      <c r="B435" s="3" t="s">
        <v>214</v>
      </c>
      <c r="G435" s="1" t="s">
        <v>215</v>
      </c>
    </row>
    <row r="437" ht="14.25" customHeight="1">
      <c r="B437" s="3" t="s">
        <v>216</v>
      </c>
    </row>
    <row r="438" spans="2:7" ht="14.25" customHeight="1">
      <c r="B438" t="s">
        <v>217</v>
      </c>
      <c r="C438" s="29">
        <f>D390*(H379+1)</f>
        <v>1330000</v>
      </c>
      <c r="D438" s="71" t="s">
        <v>176</v>
      </c>
      <c r="E438" s="29">
        <f>H380*(H379-1)</f>
        <v>175000</v>
      </c>
      <c r="F438" s="26" t="s">
        <v>19</v>
      </c>
      <c r="G438" s="28">
        <f>(C438+E438)/D439</f>
        <v>125416.66666666667</v>
      </c>
    </row>
    <row r="439" ht="14.25" customHeight="1">
      <c r="D439" s="26">
        <f>2*H379</f>
        <v>12</v>
      </c>
    </row>
    <row r="440" spans="4:9" ht="14.25" customHeight="1">
      <c r="D440" s="136" t="s">
        <v>218</v>
      </c>
      <c r="E440" s="29">
        <f>G438</f>
        <v>125416.66666666667</v>
      </c>
      <c r="F440" s="71" t="s">
        <v>18</v>
      </c>
      <c r="G440" s="138">
        <f>H383</f>
        <v>0.02</v>
      </c>
      <c r="H440" s="114">
        <f>E440*G440/F441</f>
        <v>1.0033333333333334</v>
      </c>
      <c r="I440" t="s">
        <v>201</v>
      </c>
    </row>
    <row r="441" spans="6:7" ht="14.25" customHeight="1">
      <c r="F441" s="68">
        <f>F404</f>
        <v>2500</v>
      </c>
      <c r="G441" t="s">
        <v>88</v>
      </c>
    </row>
    <row r="443" spans="7:8" ht="14.25" customHeight="1">
      <c r="G443" s="27" t="s">
        <v>220</v>
      </c>
      <c r="H443" s="168">
        <f>SUM(H406:H440)</f>
        <v>9.056516830927777</v>
      </c>
    </row>
    <row r="448" spans="1:5" ht="14.25" customHeight="1">
      <c r="A448" s="1">
        <v>2.15</v>
      </c>
      <c r="B448" s="110" t="s">
        <v>251</v>
      </c>
      <c r="C448" s="119">
        <v>220</v>
      </c>
      <c r="D448" t="s">
        <v>250</v>
      </c>
      <c r="E448" s="34" t="s">
        <v>248</v>
      </c>
    </row>
    <row r="449" spans="2:4" ht="14.25" customHeight="1">
      <c r="B449" s="109" t="s">
        <v>249</v>
      </c>
      <c r="C449" s="34"/>
      <c r="D449" s="34"/>
    </row>
    <row r="450" spans="3:8" ht="14.25" customHeight="1">
      <c r="C450" s="34"/>
      <c r="D450" s="34"/>
      <c r="E450" s="34"/>
      <c r="F450" s="70" t="s">
        <v>231</v>
      </c>
      <c r="G450" s="41">
        <v>56</v>
      </c>
      <c r="H450" t="s">
        <v>230</v>
      </c>
    </row>
    <row r="451" spans="6:8" ht="14.25" customHeight="1">
      <c r="F451" s="70" t="s">
        <v>237</v>
      </c>
      <c r="G451" s="40">
        <v>1</v>
      </c>
      <c r="H451" t="s">
        <v>234</v>
      </c>
    </row>
    <row r="452" spans="3:8" ht="14.25" customHeight="1">
      <c r="C452" s="34"/>
      <c r="D452" s="34"/>
      <c r="F452" s="70" t="s">
        <v>236</v>
      </c>
      <c r="G452" s="40">
        <v>0.33</v>
      </c>
      <c r="H452" t="s">
        <v>232</v>
      </c>
    </row>
    <row r="453" spans="3:8" ht="14.25" customHeight="1">
      <c r="C453" s="34"/>
      <c r="D453" s="34"/>
      <c r="F453" s="70" t="s">
        <v>235</v>
      </c>
      <c r="G453" s="40">
        <v>0.7</v>
      </c>
      <c r="H453" t="s">
        <v>234</v>
      </c>
    </row>
    <row r="454" spans="2:5" ht="14.25" customHeight="1">
      <c r="B454" s="34" t="s">
        <v>233</v>
      </c>
      <c r="C454" s="34"/>
      <c r="D454" s="34"/>
      <c r="E454" s="34"/>
    </row>
    <row r="455" spans="2:5" ht="14.25" customHeight="1">
      <c r="B455" s="36" t="s">
        <v>337</v>
      </c>
      <c r="C455" s="34"/>
      <c r="D455" s="34"/>
      <c r="E455" s="34"/>
    </row>
    <row r="457" spans="2:6" ht="14.25" customHeight="1">
      <c r="B457" s="34" t="s">
        <v>238</v>
      </c>
      <c r="E457" s="41">
        <v>0.04</v>
      </c>
      <c r="F457" t="s">
        <v>239</v>
      </c>
    </row>
    <row r="458" spans="2:6" ht="14.25" customHeight="1">
      <c r="B458" s="3" t="s">
        <v>240</v>
      </c>
      <c r="D458" s="81" t="s">
        <v>243</v>
      </c>
      <c r="E458" s="26"/>
      <c r="F458" s="26" t="s">
        <v>244</v>
      </c>
    </row>
    <row r="459" spans="2:8" ht="14.25" customHeight="1">
      <c r="B459" t="s">
        <v>241</v>
      </c>
      <c r="D459" s="120">
        <f>G451</f>
        <v>1</v>
      </c>
      <c r="E459" s="26" t="s">
        <v>18</v>
      </c>
      <c r="F459" s="120">
        <f>G452</f>
        <v>0.33</v>
      </c>
      <c r="G459" s="26" t="s">
        <v>19</v>
      </c>
      <c r="H459" s="120">
        <f>D459*F459</f>
        <v>0.33</v>
      </c>
    </row>
    <row r="460" spans="2:8" ht="14.25" customHeight="1">
      <c r="B460" t="s">
        <v>242</v>
      </c>
      <c r="D460" s="120">
        <f>G453</f>
        <v>0.7</v>
      </c>
      <c r="E460" s="26" t="s">
        <v>18</v>
      </c>
      <c r="F460" s="120">
        <f>1-F459</f>
        <v>0.6699999999999999</v>
      </c>
      <c r="G460" s="26" t="s">
        <v>19</v>
      </c>
      <c r="H460" s="141">
        <f>D460*F460</f>
        <v>0.4689999999999999</v>
      </c>
    </row>
    <row r="461" ht="14.25" customHeight="1">
      <c r="H461" s="120">
        <f>SUM(H459:H460)</f>
        <v>0.7989999999999999</v>
      </c>
    </row>
    <row r="463" spans="2:8" ht="14.25" customHeight="1">
      <c r="B463" s="3" t="s">
        <v>245</v>
      </c>
      <c r="D463" s="31">
        <f>G450</f>
        <v>56</v>
      </c>
      <c r="E463" s="31" t="s">
        <v>230</v>
      </c>
      <c r="G463" s="26" t="s">
        <v>19</v>
      </c>
      <c r="H463" s="120">
        <f>D463/D464</f>
        <v>0.9333333333333333</v>
      </c>
    </row>
    <row r="464" spans="4:5" ht="14.25" customHeight="1">
      <c r="D464">
        <v>60</v>
      </c>
      <c r="E464" s="32" t="s">
        <v>230</v>
      </c>
    </row>
    <row r="466" spans="2:8" ht="14.25" customHeight="1">
      <c r="B466" s="3" t="s">
        <v>246</v>
      </c>
      <c r="D466" s="120">
        <f>H461</f>
        <v>0.7989999999999999</v>
      </c>
      <c r="E466" s="26" t="s">
        <v>18</v>
      </c>
      <c r="F466" s="120">
        <f>H463</f>
        <v>0.9333333333333333</v>
      </c>
      <c r="G466" s="26" t="s">
        <v>19</v>
      </c>
      <c r="H466" s="120">
        <f>D466*F466</f>
        <v>0.7457333333333332</v>
      </c>
    </row>
    <row r="468" spans="3:8" ht="14.25" customHeight="1">
      <c r="C468" s="27" t="s">
        <v>247</v>
      </c>
      <c r="D468" s="120">
        <f>H466</f>
        <v>0.7457333333333332</v>
      </c>
      <c r="E468" s="26" t="s">
        <v>18</v>
      </c>
      <c r="F468">
        <f>E457</f>
        <v>0.04</v>
      </c>
      <c r="G468" s="26" t="s">
        <v>18</v>
      </c>
      <c r="H468" s="26">
        <f>C448</f>
        <v>220</v>
      </c>
    </row>
    <row r="469" spans="3:5" ht="14.25" customHeight="1">
      <c r="C469" s="27" t="s">
        <v>252</v>
      </c>
      <c r="D469" s="142">
        <f>D468*F468*H468</f>
        <v>6.562453333333332</v>
      </c>
      <c r="E469" s="3" t="s">
        <v>253</v>
      </c>
    </row>
    <row r="470" spans="3:6" ht="14.25" customHeight="1">
      <c r="C470" s="27" t="s">
        <v>254</v>
      </c>
      <c r="D470" s="142">
        <v>6.8</v>
      </c>
      <c r="E470" s="3" t="s">
        <v>253</v>
      </c>
      <c r="F470" t="s">
        <v>255</v>
      </c>
    </row>
    <row r="473" spans="1:6" ht="14.25" customHeight="1">
      <c r="A473" s="105">
        <v>2.16</v>
      </c>
      <c r="B473" s="70" t="s">
        <v>257</v>
      </c>
      <c r="C473" s="119">
        <v>75</v>
      </c>
      <c r="D473" s="151" t="s">
        <v>256</v>
      </c>
      <c r="E473" s="34"/>
      <c r="F473" s="34"/>
    </row>
    <row r="474" spans="2:8" ht="14.25" customHeight="1">
      <c r="B474" s="34"/>
      <c r="C474" s="34"/>
      <c r="D474" s="34"/>
      <c r="E474" s="34"/>
      <c r="F474" s="70" t="s">
        <v>259</v>
      </c>
      <c r="G474" s="161">
        <v>60</v>
      </c>
      <c r="H474" t="s">
        <v>258</v>
      </c>
    </row>
    <row r="475" spans="3:6" ht="14.25" customHeight="1">
      <c r="C475" s="34"/>
      <c r="D475" s="70" t="s">
        <v>261</v>
      </c>
      <c r="E475" s="143">
        <v>0.6</v>
      </c>
      <c r="F475" s="34" t="s">
        <v>263</v>
      </c>
    </row>
    <row r="476" spans="2:6" ht="14.25" customHeight="1">
      <c r="B476" s="34" t="s">
        <v>260</v>
      </c>
      <c r="C476" s="34"/>
      <c r="D476" s="34"/>
      <c r="E476" s="34"/>
      <c r="F476" s="34"/>
    </row>
    <row r="478" spans="2:7" ht="14.25" customHeight="1">
      <c r="B478" s="34"/>
      <c r="C478" s="34"/>
      <c r="D478" s="70" t="s">
        <v>262</v>
      </c>
      <c r="E478" s="119">
        <v>0.06</v>
      </c>
      <c r="F478" s="34" t="s">
        <v>239</v>
      </c>
      <c r="G478" s="34"/>
    </row>
    <row r="479" spans="2:6" ht="14.25" customHeight="1">
      <c r="B479" s="3" t="s">
        <v>240</v>
      </c>
      <c r="D479" s="81" t="s">
        <v>243</v>
      </c>
      <c r="E479" s="26"/>
      <c r="F479" s="26" t="s">
        <v>244</v>
      </c>
    </row>
    <row r="480" spans="4:8" ht="14.25" customHeight="1">
      <c r="D480" s="162">
        <f>E475</f>
        <v>0.6</v>
      </c>
      <c r="E480" s="26" t="s">
        <v>18</v>
      </c>
      <c r="F480" s="162">
        <v>1</v>
      </c>
      <c r="G480" s="26" t="s">
        <v>19</v>
      </c>
      <c r="H480" s="120">
        <f>D480*F480</f>
        <v>0.6</v>
      </c>
    </row>
    <row r="482" spans="2:8" ht="14.25" customHeight="1">
      <c r="B482" s="3" t="s">
        <v>245</v>
      </c>
      <c r="D482" s="31">
        <f>G474</f>
        <v>60</v>
      </c>
      <c r="E482" s="31" t="s">
        <v>230</v>
      </c>
      <c r="G482" s="26" t="s">
        <v>19</v>
      </c>
      <c r="H482" s="120">
        <f>D482/D483</f>
        <v>1</v>
      </c>
    </row>
    <row r="483" spans="4:5" ht="14.25" customHeight="1">
      <c r="D483">
        <v>60</v>
      </c>
      <c r="E483" s="32" t="s">
        <v>230</v>
      </c>
    </row>
    <row r="485" spans="2:8" ht="14.25" customHeight="1">
      <c r="B485" s="3" t="s">
        <v>246</v>
      </c>
      <c r="D485" s="120">
        <f>H480</f>
        <v>0.6</v>
      </c>
      <c r="E485" s="26" t="s">
        <v>18</v>
      </c>
      <c r="F485" s="120">
        <f>H482</f>
        <v>1</v>
      </c>
      <c r="G485" s="26" t="s">
        <v>19</v>
      </c>
      <c r="H485" s="120">
        <f>D485*F485</f>
        <v>0.6</v>
      </c>
    </row>
    <row r="487" spans="3:9" ht="14.25" customHeight="1">
      <c r="C487" s="27" t="s">
        <v>247</v>
      </c>
      <c r="D487" s="137">
        <f>H485</f>
        <v>0.6</v>
      </c>
      <c r="E487" s="26" t="s">
        <v>18</v>
      </c>
      <c r="F487" s="26">
        <f>E478</f>
        <v>0.06</v>
      </c>
      <c r="G487" s="26" t="s">
        <v>18</v>
      </c>
      <c r="H487" s="26">
        <f>C473</f>
        <v>75</v>
      </c>
      <c r="I487" t="s">
        <v>250</v>
      </c>
    </row>
    <row r="488" spans="3:5" ht="14.25" customHeight="1">
      <c r="C488" s="27" t="s">
        <v>252</v>
      </c>
      <c r="D488" s="142">
        <f>D487*F487*H487</f>
        <v>2.6999999999999997</v>
      </c>
      <c r="E488" s="3" t="s">
        <v>253</v>
      </c>
    </row>
    <row r="489" spans="3:5" ht="14.25" customHeight="1">
      <c r="C489" s="27"/>
      <c r="D489" s="142"/>
      <c r="E489" s="3"/>
    </row>
    <row r="491" spans="1:9" ht="14.25" customHeight="1">
      <c r="A491" s="105">
        <v>2.17</v>
      </c>
      <c r="B491" s="70" t="s">
        <v>257</v>
      </c>
      <c r="C491" s="119">
        <v>262</v>
      </c>
      <c r="D491" s="109" t="s">
        <v>264</v>
      </c>
      <c r="E491" s="34"/>
      <c r="F491" s="34"/>
      <c r="G491" s="34"/>
      <c r="H491" s="34"/>
      <c r="I491" s="34"/>
    </row>
    <row r="492" spans="2:9" ht="14.25" customHeight="1">
      <c r="B492" s="34"/>
      <c r="C492" s="34"/>
      <c r="D492" s="34"/>
      <c r="E492" s="34"/>
      <c r="F492" s="34"/>
      <c r="G492" s="70" t="s">
        <v>265</v>
      </c>
      <c r="H492" s="92">
        <v>350000</v>
      </c>
      <c r="I492" s="34"/>
    </row>
    <row r="493" spans="2:9" ht="14.25" customHeight="1">
      <c r="B493" s="34"/>
      <c r="C493" s="34"/>
      <c r="D493" s="34"/>
      <c r="E493" s="110" t="s">
        <v>267</v>
      </c>
      <c r="F493" s="106">
        <v>4</v>
      </c>
      <c r="G493" s="67" t="s">
        <v>266</v>
      </c>
      <c r="H493" s="92">
        <v>86000</v>
      </c>
      <c r="I493" s="34"/>
    </row>
    <row r="494" spans="2:9" ht="14.25" customHeight="1">
      <c r="B494" s="34"/>
      <c r="C494" s="34"/>
      <c r="D494" s="34"/>
      <c r="E494" s="34"/>
      <c r="F494" s="34"/>
      <c r="G494" s="70" t="s">
        <v>268</v>
      </c>
      <c r="H494" s="62">
        <v>0.072</v>
      </c>
      <c r="I494" s="34"/>
    </row>
    <row r="495" spans="2:9" ht="14.25" customHeight="1">
      <c r="B495" s="34"/>
      <c r="C495" s="34"/>
      <c r="D495" s="34"/>
      <c r="E495" s="34"/>
      <c r="F495" s="34"/>
      <c r="G495" s="110" t="s">
        <v>269</v>
      </c>
      <c r="H495" s="92">
        <v>36000</v>
      </c>
      <c r="I495" s="34"/>
    </row>
    <row r="496" spans="2:8" ht="14.25" customHeight="1">
      <c r="B496" s="34"/>
      <c r="C496" s="34"/>
      <c r="D496" s="34"/>
      <c r="E496" s="34"/>
      <c r="F496" s="110" t="s">
        <v>270</v>
      </c>
      <c r="G496" s="119">
        <v>45</v>
      </c>
      <c r="H496" s="34" t="s">
        <v>258</v>
      </c>
    </row>
    <row r="497" spans="2:8" ht="14.25" customHeight="1">
      <c r="B497" s="34"/>
      <c r="C497" s="110" t="s">
        <v>261</v>
      </c>
      <c r="D497" s="144">
        <v>1</v>
      </c>
      <c r="E497" s="94" t="s">
        <v>327</v>
      </c>
      <c r="F497" s="34"/>
      <c r="G497" s="62">
        <v>0.33</v>
      </c>
      <c r="H497" s="34" t="s">
        <v>271</v>
      </c>
    </row>
    <row r="498" spans="2:9" ht="14.25" customHeight="1">
      <c r="B498" s="34"/>
      <c r="C498" s="70" t="s">
        <v>273</v>
      </c>
      <c r="D498" s="144">
        <v>0.75</v>
      </c>
      <c r="E498" s="34" t="s">
        <v>272</v>
      </c>
      <c r="F498" s="34"/>
      <c r="G498" s="34"/>
      <c r="H498" s="34"/>
      <c r="I498" s="34"/>
    </row>
    <row r="499" spans="2:9" ht="14.25" customHeight="1">
      <c r="B499" s="34"/>
      <c r="C499" s="34"/>
      <c r="D499" s="110" t="s">
        <v>274</v>
      </c>
      <c r="E499" s="119">
        <v>12</v>
      </c>
      <c r="F499" s="34" t="s">
        <v>275</v>
      </c>
      <c r="G499" s="34"/>
      <c r="H499" s="34"/>
      <c r="I499" s="34"/>
    </row>
    <row r="500" spans="2:9" ht="14.25" customHeight="1">
      <c r="B500" s="34"/>
      <c r="C500" s="34"/>
      <c r="D500" s="70" t="s">
        <v>276</v>
      </c>
      <c r="E500" s="119">
        <v>100</v>
      </c>
      <c r="F500" s="34" t="s">
        <v>277</v>
      </c>
      <c r="G500" s="34"/>
      <c r="H500" s="34"/>
      <c r="I500" s="34"/>
    </row>
    <row r="501" spans="2:9" ht="14.25" customHeight="1">
      <c r="B501" s="34"/>
      <c r="C501" s="34"/>
      <c r="D501" s="70" t="s">
        <v>279</v>
      </c>
      <c r="E501" s="163">
        <v>0.65</v>
      </c>
      <c r="F501" s="34" t="s">
        <v>278</v>
      </c>
      <c r="G501" s="34"/>
      <c r="H501" s="34"/>
      <c r="I501" s="34"/>
    </row>
    <row r="502" spans="2:9" ht="14.25" customHeight="1">
      <c r="B502" s="34"/>
      <c r="C502" s="34"/>
      <c r="D502" s="70" t="s">
        <v>280</v>
      </c>
      <c r="E502" s="145">
        <v>3.25</v>
      </c>
      <c r="F502" s="34" t="s">
        <v>281</v>
      </c>
      <c r="G502" s="34"/>
      <c r="H502" s="34"/>
      <c r="I502" s="34"/>
    </row>
    <row r="503" spans="2:9" ht="14.25" customHeight="1">
      <c r="B503" s="34"/>
      <c r="C503" s="34"/>
      <c r="D503" s="110" t="s">
        <v>283</v>
      </c>
      <c r="E503" s="145">
        <v>4.55</v>
      </c>
      <c r="F503" s="34" t="s">
        <v>282</v>
      </c>
      <c r="G503" s="34"/>
      <c r="H503" s="34"/>
      <c r="I503" s="34"/>
    </row>
    <row r="504" spans="3:10" ht="14.25" customHeight="1">
      <c r="C504" s="34"/>
      <c r="D504" s="70" t="s">
        <v>295</v>
      </c>
      <c r="E504" s="145">
        <v>0.85</v>
      </c>
      <c r="F504" s="82" t="s">
        <v>0</v>
      </c>
      <c r="G504" s="34"/>
      <c r="H504" s="34"/>
      <c r="I504" s="34"/>
      <c r="J504" s="67"/>
    </row>
    <row r="505" spans="2:10" ht="14.25" customHeight="1">
      <c r="B505" s="34"/>
      <c r="C505" s="34"/>
      <c r="D505" s="110" t="s">
        <v>1</v>
      </c>
      <c r="E505" s="163">
        <v>0.18</v>
      </c>
      <c r="F505" s="34" t="s">
        <v>2</v>
      </c>
      <c r="G505" s="34"/>
      <c r="H505" s="34"/>
      <c r="I505" s="34"/>
      <c r="J505" s="67"/>
    </row>
    <row r="506" spans="2:10" ht="14.25" customHeight="1">
      <c r="B506" s="34"/>
      <c r="C506" s="34"/>
      <c r="D506" s="70" t="s">
        <v>3</v>
      </c>
      <c r="E506" s="96">
        <v>3400</v>
      </c>
      <c r="F506" s="34" t="s">
        <v>4</v>
      </c>
      <c r="G506" s="34"/>
      <c r="H506" s="34"/>
      <c r="I506" s="34"/>
      <c r="J506" s="67"/>
    </row>
    <row r="507" spans="2:10" ht="14.25" customHeight="1">
      <c r="B507" s="34"/>
      <c r="C507" s="34"/>
      <c r="D507" s="70" t="s">
        <v>6</v>
      </c>
      <c r="E507" s="96">
        <v>1600</v>
      </c>
      <c r="F507" s="34" t="s">
        <v>5</v>
      </c>
      <c r="G507" s="34"/>
      <c r="H507" s="34"/>
      <c r="I507" s="34"/>
      <c r="J507" s="67"/>
    </row>
    <row r="508" spans="2:10" ht="14.25" customHeight="1">
      <c r="B508" s="34"/>
      <c r="C508" s="34"/>
      <c r="D508" s="70" t="s">
        <v>7</v>
      </c>
      <c r="E508" s="96">
        <v>120</v>
      </c>
      <c r="F508" s="34" t="s">
        <v>80</v>
      </c>
      <c r="G508" s="34"/>
      <c r="H508" s="34"/>
      <c r="I508" s="34"/>
      <c r="J508" s="67"/>
    </row>
    <row r="509" spans="2:10" ht="14.25" customHeight="1">
      <c r="B509" s="34"/>
      <c r="C509" s="34"/>
      <c r="D509" s="70" t="s">
        <v>9</v>
      </c>
      <c r="E509" s="92">
        <v>700</v>
      </c>
      <c r="F509" s="34"/>
      <c r="G509" s="34"/>
      <c r="H509" s="34"/>
      <c r="I509" s="34"/>
      <c r="J509" s="67"/>
    </row>
    <row r="510" spans="2:10" ht="14.25" customHeight="1">
      <c r="B510" s="34" t="s">
        <v>8</v>
      </c>
      <c r="C510" s="34"/>
      <c r="D510" s="34"/>
      <c r="E510" s="34"/>
      <c r="F510" s="34"/>
      <c r="G510" s="34"/>
      <c r="H510" s="34"/>
      <c r="I510" s="34"/>
      <c r="J510" s="67"/>
    </row>
    <row r="512" spans="2:6" ht="14.25" customHeight="1">
      <c r="B512" s="34" t="s">
        <v>238</v>
      </c>
      <c r="E512" s="41">
        <v>0.04</v>
      </c>
      <c r="F512" t="s">
        <v>239</v>
      </c>
    </row>
    <row r="513" spans="2:6" ht="14.25" customHeight="1">
      <c r="B513" s="3" t="s">
        <v>240</v>
      </c>
      <c r="D513" s="81" t="s">
        <v>243</v>
      </c>
      <c r="E513" s="26"/>
      <c r="F513" s="26" t="s">
        <v>244</v>
      </c>
    </row>
    <row r="514" spans="2:8" ht="14.25" customHeight="1">
      <c r="B514" t="s">
        <v>241</v>
      </c>
      <c r="D514" s="120">
        <f>D497</f>
        <v>1</v>
      </c>
      <c r="E514" s="26" t="s">
        <v>18</v>
      </c>
      <c r="F514" s="120">
        <f>G497</f>
        <v>0.33</v>
      </c>
      <c r="G514" s="26" t="s">
        <v>19</v>
      </c>
      <c r="H514" s="120">
        <f>D514*F514</f>
        <v>0.33</v>
      </c>
    </row>
    <row r="515" spans="2:8" ht="14.25" customHeight="1">
      <c r="B515" t="s">
        <v>242</v>
      </c>
      <c r="D515" s="120">
        <f>D498</f>
        <v>0.75</v>
      </c>
      <c r="E515" s="26" t="s">
        <v>18</v>
      </c>
      <c r="F515" s="120">
        <f>1-F514</f>
        <v>0.6699999999999999</v>
      </c>
      <c r="G515" s="26" t="s">
        <v>19</v>
      </c>
      <c r="H515" s="141">
        <f>D515*F515</f>
        <v>0.5025</v>
      </c>
    </row>
    <row r="516" ht="14.25" customHeight="1">
      <c r="H516" s="120">
        <f>SUM(H514:H515)</f>
        <v>0.8325</v>
      </c>
    </row>
    <row r="518" spans="2:8" ht="14.25" customHeight="1">
      <c r="B518" s="3" t="s">
        <v>245</v>
      </c>
      <c r="D518" s="31">
        <f>G496</f>
        <v>45</v>
      </c>
      <c r="E518" s="31" t="s">
        <v>230</v>
      </c>
      <c r="G518" s="26" t="s">
        <v>19</v>
      </c>
      <c r="H518" s="120">
        <f>D518/D519</f>
        <v>0.75</v>
      </c>
    </row>
    <row r="519" spans="4:5" ht="14.25" customHeight="1">
      <c r="D519">
        <v>60</v>
      </c>
      <c r="E519" s="32" t="s">
        <v>230</v>
      </c>
    </row>
    <row r="521" spans="2:8" ht="14.25" customHeight="1">
      <c r="B521" s="3" t="s">
        <v>246</v>
      </c>
      <c r="D521" s="120">
        <f>H516</f>
        <v>0.8325</v>
      </c>
      <c r="E521" s="26" t="s">
        <v>18</v>
      </c>
      <c r="F521" s="120">
        <f>H518</f>
        <v>0.75</v>
      </c>
      <c r="G521" s="26" t="s">
        <v>19</v>
      </c>
      <c r="H521" s="120">
        <f>D521*F521</f>
        <v>0.624375</v>
      </c>
    </row>
    <row r="522" ht="14.25" customHeight="1">
      <c r="B522" t="s">
        <v>288</v>
      </c>
    </row>
    <row r="523" spans="3:9" ht="14.25" customHeight="1">
      <c r="C523" s="27" t="s">
        <v>247</v>
      </c>
      <c r="D523" s="120">
        <f>H521</f>
        <v>0.624375</v>
      </c>
      <c r="E523" s="26" t="s">
        <v>18</v>
      </c>
      <c r="F523">
        <f>E512</f>
        <v>0.04</v>
      </c>
      <c r="G523" s="26" t="s">
        <v>18</v>
      </c>
      <c r="H523" s="26">
        <f>C491</f>
        <v>262</v>
      </c>
      <c r="I523" t="s">
        <v>250</v>
      </c>
    </row>
    <row r="524" spans="3:5" ht="14.25" customHeight="1">
      <c r="C524" s="27" t="s">
        <v>252</v>
      </c>
      <c r="D524" s="146">
        <f>D523*F523*H523</f>
        <v>6.54345</v>
      </c>
      <c r="E524" s="3" t="s">
        <v>253</v>
      </c>
    </row>
    <row r="525" spans="3:9" ht="14.25" customHeight="1">
      <c r="C525" s="27" t="s">
        <v>10</v>
      </c>
      <c r="D525" s="147">
        <f>D524</f>
        <v>6.54345</v>
      </c>
      <c r="E525" s="26" t="s">
        <v>18</v>
      </c>
      <c r="F525" s="6">
        <f>E502</f>
        <v>3.25</v>
      </c>
      <c r="G525" t="s">
        <v>11</v>
      </c>
      <c r="H525" s="114">
        <f>D525*F525</f>
        <v>21.2662125</v>
      </c>
      <c r="I525" t="s">
        <v>201</v>
      </c>
    </row>
    <row r="527" ht="14.25" customHeight="1">
      <c r="B527" s="3" t="s">
        <v>284</v>
      </c>
    </row>
    <row r="528" spans="2:8" ht="14.25" customHeight="1">
      <c r="B528" t="s">
        <v>289</v>
      </c>
      <c r="D528" s="26" t="s">
        <v>250</v>
      </c>
      <c r="E528" s="26"/>
      <c r="F528" s="26" t="s">
        <v>287</v>
      </c>
      <c r="G528" s="26"/>
      <c r="H528" s="26" t="s">
        <v>286</v>
      </c>
    </row>
    <row r="529" spans="3:8" ht="14.25" customHeight="1">
      <c r="C529" s="27" t="s">
        <v>285</v>
      </c>
      <c r="D529" s="71">
        <f>C491</f>
        <v>262</v>
      </c>
      <c r="E529" s="71" t="s">
        <v>18</v>
      </c>
      <c r="F529" s="138">
        <f>H521</f>
        <v>0.624375</v>
      </c>
      <c r="G529" s="71" t="s">
        <v>18</v>
      </c>
      <c r="H529" s="71">
        <v>0.006</v>
      </c>
    </row>
    <row r="530" spans="6:7" ht="14.25" customHeight="1">
      <c r="F530">
        <v>7.4</v>
      </c>
      <c r="G530" t="s">
        <v>290</v>
      </c>
    </row>
    <row r="532" spans="3:5" ht="14.25" customHeight="1">
      <c r="C532" s="27" t="s">
        <v>176</v>
      </c>
      <c r="D532" s="71">
        <f>E499</f>
        <v>12</v>
      </c>
      <c r="E532" t="s">
        <v>291</v>
      </c>
    </row>
    <row r="533" spans="4:5" ht="14.25" customHeight="1">
      <c r="D533" s="26">
        <f>E500</f>
        <v>100</v>
      </c>
      <c r="E533" t="s">
        <v>292</v>
      </c>
    </row>
    <row r="535" spans="3:9" ht="14.25" customHeight="1">
      <c r="C535" s="27" t="s">
        <v>285</v>
      </c>
      <c r="D535" s="26">
        <f>D529*F529*H529/F530</f>
        <v>0.1326375</v>
      </c>
      <c r="E535" s="26" t="s">
        <v>176</v>
      </c>
      <c r="F535" s="26">
        <f>D532/D533</f>
        <v>0.12</v>
      </c>
      <c r="G535" s="26" t="s">
        <v>19</v>
      </c>
      <c r="H535">
        <f>D535+F535</f>
        <v>0.25263749999999996</v>
      </c>
      <c r="I535" t="s">
        <v>253</v>
      </c>
    </row>
    <row r="537" spans="3:9" ht="14.25" customHeight="1">
      <c r="C537" s="27" t="s">
        <v>293</v>
      </c>
      <c r="D537">
        <f>H535</f>
        <v>0.25263749999999996</v>
      </c>
      <c r="E537" s="33" t="s">
        <v>18</v>
      </c>
      <c r="F537" s="6">
        <f>E503</f>
        <v>4.55</v>
      </c>
      <c r="G537" t="s">
        <v>294</v>
      </c>
      <c r="H537" s="113">
        <f>D537*F537</f>
        <v>1.1495006249999997</v>
      </c>
      <c r="I537" t="s">
        <v>201</v>
      </c>
    </row>
    <row r="539" spans="3:9" ht="14.25" customHeight="1">
      <c r="C539" s="27" t="s">
        <v>296</v>
      </c>
      <c r="D539" s="113">
        <f>H537</f>
        <v>1.1495006249999997</v>
      </c>
      <c r="E539" s="26" t="s">
        <v>176</v>
      </c>
      <c r="F539" s="6">
        <f>E504</f>
        <v>0.85</v>
      </c>
      <c r="G539" s="26" t="s">
        <v>19</v>
      </c>
      <c r="H539" s="114">
        <f>D539+F539</f>
        <v>1.9995006249999996</v>
      </c>
      <c r="I539" t="s">
        <v>201</v>
      </c>
    </row>
    <row r="541" ht="14.25" customHeight="1">
      <c r="B541" s="3" t="s">
        <v>297</v>
      </c>
    </row>
    <row r="542" ht="14.25" customHeight="1">
      <c r="B542" t="s">
        <v>184</v>
      </c>
    </row>
    <row r="543" spans="3:4" ht="14.25" customHeight="1">
      <c r="C543" t="s">
        <v>173</v>
      </c>
      <c r="D543" s="28">
        <f>H492</f>
        <v>350000</v>
      </c>
    </row>
    <row r="544" spans="3:4" ht="14.25" customHeight="1">
      <c r="C544" s="27" t="s">
        <v>299</v>
      </c>
      <c r="D544" s="28">
        <f>H495</f>
        <v>36000</v>
      </c>
    </row>
    <row r="545" spans="3:4" ht="14.25" customHeight="1">
      <c r="C545" s="84" t="s">
        <v>298</v>
      </c>
      <c r="D545" s="29">
        <f>H493</f>
        <v>86000</v>
      </c>
    </row>
    <row r="546" ht="14.25" customHeight="1">
      <c r="D546" s="28">
        <f>D543-D544-D545</f>
        <v>228000</v>
      </c>
    </row>
    <row r="547" spans="2:7" ht="14.25" customHeight="1">
      <c r="B547" s="31"/>
      <c r="C547" s="29">
        <f>D546</f>
        <v>228000</v>
      </c>
      <c r="D547" s="31"/>
      <c r="E547" s="26" t="s">
        <v>19</v>
      </c>
      <c r="F547" s="113">
        <f>C547/(B548*D548)</f>
        <v>35.625</v>
      </c>
      <c r="G547" t="s">
        <v>213</v>
      </c>
    </row>
    <row r="548" spans="2:5" ht="14.25" customHeight="1">
      <c r="B548">
        <f>F493</f>
        <v>4</v>
      </c>
      <c r="C548" s="33" t="s">
        <v>18</v>
      </c>
      <c r="D548" s="85">
        <f>E507</f>
        <v>1600</v>
      </c>
      <c r="E548" t="s">
        <v>300</v>
      </c>
    </row>
    <row r="550" spans="3:9" ht="14.25" customHeight="1">
      <c r="C550" s="27" t="s">
        <v>301</v>
      </c>
      <c r="D550" s="113">
        <f>F547</f>
        <v>35.625</v>
      </c>
      <c r="E550" s="33" t="s">
        <v>18</v>
      </c>
      <c r="F550" s="120">
        <f>E501</f>
        <v>0.65</v>
      </c>
      <c r="G550" s="26" t="s">
        <v>19</v>
      </c>
      <c r="H550" s="114">
        <f>D550*F550</f>
        <v>23.15625</v>
      </c>
      <c r="I550" t="s">
        <v>201</v>
      </c>
    </row>
    <row r="552" ht="14.25" customHeight="1">
      <c r="B552" s="3" t="s">
        <v>302</v>
      </c>
    </row>
    <row r="553" spans="3:9" ht="14.25" customHeight="1">
      <c r="C553" s="27" t="s">
        <v>303</v>
      </c>
      <c r="D553" s="42">
        <f>H495</f>
        <v>36000</v>
      </c>
      <c r="E553" s="33" t="s">
        <v>18</v>
      </c>
      <c r="F553" s="120">
        <f>E505</f>
        <v>0.18</v>
      </c>
      <c r="G553" s="26" t="s">
        <v>19</v>
      </c>
      <c r="H553" s="113">
        <f>F553*D553/D554</f>
        <v>1.9058823529411764</v>
      </c>
      <c r="I553" t="s">
        <v>201</v>
      </c>
    </row>
    <row r="554" spans="4:5" ht="14.25" customHeight="1">
      <c r="D554" s="85">
        <f>E506</f>
        <v>3400</v>
      </c>
      <c r="E554" t="s">
        <v>80</v>
      </c>
    </row>
    <row r="556" ht="14.25" customHeight="1">
      <c r="B556" t="s">
        <v>304</v>
      </c>
    </row>
    <row r="557" spans="2:9" ht="14.25" customHeight="1">
      <c r="B557" s="31">
        <f>F493</f>
        <v>4</v>
      </c>
      <c r="C557" s="31" t="s">
        <v>182</v>
      </c>
      <c r="D557" s="71" t="s">
        <v>18</v>
      </c>
      <c r="E557" s="148">
        <f>E507</f>
        <v>1600</v>
      </c>
      <c r="F557" s="31" t="s">
        <v>88</v>
      </c>
      <c r="G557" s="26" t="s">
        <v>19</v>
      </c>
      <c r="H557" s="75">
        <f>B557*E557/D558</f>
        <v>1.8823529411764706</v>
      </c>
      <c r="I557" t="s">
        <v>306</v>
      </c>
    </row>
    <row r="558" spans="4:5" ht="14.25" customHeight="1">
      <c r="D558" s="68">
        <f>E506</f>
        <v>3400</v>
      </c>
      <c r="E558" t="s">
        <v>305</v>
      </c>
    </row>
    <row r="560" ht="14.25" customHeight="1">
      <c r="B560" s="73" t="s">
        <v>307</v>
      </c>
    </row>
    <row r="561" spans="3:6" ht="14.25" customHeight="1">
      <c r="C561" s="27" t="s">
        <v>308</v>
      </c>
      <c r="D561" s="71">
        <f>H494*(1+H494)^F493</f>
        <v>0.09508491834163203</v>
      </c>
      <c r="E561" s="26" t="s">
        <v>19</v>
      </c>
      <c r="F561">
        <f>D561/D562</f>
        <v>0.2965621978506641</v>
      </c>
    </row>
    <row r="562" ht="14.25" customHeight="1">
      <c r="D562" s="26">
        <f>((1+H494)^F493)-1</f>
        <v>0.32062386585600056</v>
      </c>
    </row>
    <row r="564" spans="2:8" ht="14.25" customHeight="1">
      <c r="B564" s="26" t="s">
        <v>312</v>
      </c>
      <c r="C564" s="29">
        <f>H495</f>
        <v>36000</v>
      </c>
      <c r="D564" s="71" t="s">
        <v>18</v>
      </c>
      <c r="E564" s="31">
        <f>F561</f>
        <v>0.2965621978506641</v>
      </c>
      <c r="F564" s="26" t="s">
        <v>19</v>
      </c>
      <c r="G564" s="113">
        <f>C564*E564/D565</f>
        <v>6.672649451639943</v>
      </c>
      <c r="H564" t="s">
        <v>201</v>
      </c>
    </row>
    <row r="565" spans="4:5" ht="14.25" customHeight="1">
      <c r="D565" s="85">
        <f>E507</f>
        <v>1600</v>
      </c>
      <c r="E565" t="s">
        <v>88</v>
      </c>
    </row>
    <row r="567" ht="14.25" customHeight="1">
      <c r="B567" s="3" t="s">
        <v>309</v>
      </c>
    </row>
    <row r="568" spans="4:6" ht="14.25" customHeight="1">
      <c r="D568" s="27" t="s">
        <v>311</v>
      </c>
      <c r="E568" s="47">
        <v>2</v>
      </c>
      <c r="F568" t="s">
        <v>126</v>
      </c>
    </row>
    <row r="570" spans="3:6" ht="14.25" customHeight="1">
      <c r="C570" s="27" t="s">
        <v>310</v>
      </c>
      <c r="D570" s="42">
        <f>H495</f>
        <v>36000</v>
      </c>
      <c r="E570" s="26" t="s">
        <v>19</v>
      </c>
      <c r="F570" s="6">
        <f>D570/D571</f>
        <v>31326.57607484963</v>
      </c>
    </row>
    <row r="571" ht="14.25" customHeight="1">
      <c r="D571" s="26">
        <f>(1+H494)^E568</f>
        <v>1.1491840000000002</v>
      </c>
    </row>
    <row r="573" spans="2:8" ht="14.25" customHeight="1">
      <c r="B573" s="26" t="s">
        <v>312</v>
      </c>
      <c r="C573" s="29">
        <f>F570</f>
        <v>31326.57607484963</v>
      </c>
      <c r="D573" s="71" t="s">
        <v>18</v>
      </c>
      <c r="E573" s="31">
        <f>F561</f>
        <v>0.2965621978506641</v>
      </c>
      <c r="F573" s="26" t="s">
        <v>19</v>
      </c>
      <c r="G573" s="113">
        <f>C573*E573/D574</f>
        <v>5.806423907433397</v>
      </c>
      <c r="H573" t="s">
        <v>201</v>
      </c>
    </row>
    <row r="574" spans="4:5" ht="14.25" customHeight="1">
      <c r="D574" s="85">
        <f>E507</f>
        <v>1600</v>
      </c>
      <c r="E574" t="s">
        <v>88</v>
      </c>
    </row>
    <row r="576" spans="3:5" ht="14.25" customHeight="1">
      <c r="C576" s="27" t="s">
        <v>314</v>
      </c>
      <c r="D576" s="113">
        <f>H553</f>
        <v>1.9058823529411764</v>
      </c>
      <c r="E576" t="s">
        <v>201</v>
      </c>
    </row>
    <row r="577" spans="3:5" ht="14.25" customHeight="1">
      <c r="C577" s="27" t="s">
        <v>316</v>
      </c>
      <c r="D577" s="113">
        <f>G564</f>
        <v>6.672649451639943</v>
      </c>
      <c r="E577" t="s">
        <v>201</v>
      </c>
    </row>
    <row r="578" spans="3:5" ht="14.25" customHeight="1">
      <c r="C578" s="27" t="s">
        <v>315</v>
      </c>
      <c r="D578" s="149">
        <f>G573</f>
        <v>5.806423907433397</v>
      </c>
      <c r="E578" s="31" t="s">
        <v>201</v>
      </c>
    </row>
    <row r="579" spans="3:5" ht="14.25" customHeight="1">
      <c r="C579" s="27" t="s">
        <v>313</v>
      </c>
      <c r="D579" s="114">
        <f>SUM(D576:D578)</f>
        <v>14.384955712014516</v>
      </c>
      <c r="E579" t="s">
        <v>201</v>
      </c>
    </row>
    <row r="581" ht="14.25" customHeight="1">
      <c r="B581" s="3" t="s">
        <v>317</v>
      </c>
    </row>
    <row r="583" spans="3:7" ht="14.25" customHeight="1">
      <c r="C583" s="27" t="s">
        <v>318</v>
      </c>
      <c r="D583" s="97">
        <f>E508</f>
        <v>120</v>
      </c>
      <c r="E583" s="26" t="s">
        <v>19</v>
      </c>
      <c r="F583" s="75">
        <f>D583/D584</f>
        <v>363.6363636363636</v>
      </c>
      <c r="G583" t="s">
        <v>319</v>
      </c>
    </row>
    <row r="584" ht="14.25" customHeight="1">
      <c r="D584" s="137">
        <f>G497</f>
        <v>0.33</v>
      </c>
    </row>
    <row r="586" spans="4:9" ht="14.25" customHeight="1">
      <c r="D586" t="s">
        <v>320</v>
      </c>
      <c r="E586" s="42">
        <f>E509</f>
        <v>700</v>
      </c>
      <c r="G586" s="26" t="s">
        <v>19</v>
      </c>
      <c r="H586" s="114">
        <f>E586/E587</f>
        <v>1.925</v>
      </c>
      <c r="I586" t="s">
        <v>201</v>
      </c>
    </row>
    <row r="587" spans="5:6" ht="14.25" customHeight="1">
      <c r="E587" s="150">
        <f>F583</f>
        <v>363.6363636363636</v>
      </c>
      <c r="F587" t="s">
        <v>87</v>
      </c>
    </row>
    <row r="589" spans="3:5" ht="14.25" customHeight="1">
      <c r="C589" t="s">
        <v>321</v>
      </c>
      <c r="D589" s="113">
        <f>H525</f>
        <v>21.2662125</v>
      </c>
      <c r="E589" t="s">
        <v>201</v>
      </c>
    </row>
    <row r="590" spans="3:5" ht="14.25" customHeight="1">
      <c r="C590" t="s">
        <v>322</v>
      </c>
      <c r="D590" s="113">
        <f>H539</f>
        <v>1.9995006249999996</v>
      </c>
      <c r="E590" t="s">
        <v>201</v>
      </c>
    </row>
    <row r="591" spans="3:5" ht="14.25" customHeight="1">
      <c r="C591" t="s">
        <v>144</v>
      </c>
      <c r="D591" s="113">
        <f>H550</f>
        <v>23.15625</v>
      </c>
      <c r="E591" t="s">
        <v>201</v>
      </c>
    </row>
    <row r="592" spans="3:5" ht="14.25" customHeight="1">
      <c r="C592" t="s">
        <v>142</v>
      </c>
      <c r="D592" s="113">
        <f>D579</f>
        <v>14.384955712014516</v>
      </c>
      <c r="E592" t="s">
        <v>201</v>
      </c>
    </row>
    <row r="593" spans="3:5" ht="14.25" customHeight="1">
      <c r="C593" s="31" t="s">
        <v>323</v>
      </c>
      <c r="D593" s="149">
        <f>H586</f>
        <v>1.925</v>
      </c>
      <c r="E593" t="s">
        <v>201</v>
      </c>
    </row>
    <row r="594" spans="3:5" ht="14.25" customHeight="1">
      <c r="C594" s="27" t="s">
        <v>324</v>
      </c>
      <c r="D594" s="114">
        <f>SUM(D589:D593)</f>
        <v>62.73191883701452</v>
      </c>
      <c r="E594" t="s">
        <v>201</v>
      </c>
    </row>
  </sheetData>
  <sheetProtection/>
  <printOptions/>
  <pageMargins left="0.75" right="0.69" top="1" bottom="1" header="0.5" footer="0.5"/>
  <pageSetup orientation="portrait" r:id="rId4"/>
  <legacyDrawing r:id="rId3"/>
  <oleObjects>
    <oleObject progId="Equation.3" shapeId="2550076" r:id="rId1"/>
    <oleObject progId="Equation.3" shapeId="27728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Fulton School of Engineering -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Schexnayder</dc:creator>
  <cp:keywords/>
  <dc:description/>
  <cp:lastModifiedBy>Shayan</cp:lastModifiedBy>
  <cp:lastPrinted>2019-09-03T17:18:26Z</cp:lastPrinted>
  <dcterms:created xsi:type="dcterms:W3CDTF">2008-12-29T18:47:46Z</dcterms:created>
  <dcterms:modified xsi:type="dcterms:W3CDTF">2023-09-28T09:30:58Z</dcterms:modified>
  <cp:category/>
  <cp:version/>
  <cp:contentType/>
  <cp:contentStatus/>
</cp:coreProperties>
</file>